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Übersicht" sheetId="1" state="visible" r:id="rId3"/>
    <sheet name="Konfiguration" sheetId="2" state="visible" r:id="rId4"/>
    <sheet name="Kategorien" sheetId="3" state="visible" r:id="rId5"/>
    <sheet name="Methodik &amp; Definitionen" sheetId="4" state="visible" r:id="rId6"/>
    <sheet name="Prompt-Katalog" sheetId="5" state="visible" r:id="rId7"/>
    <sheet name="Erhebungsbogen" sheetId="6" state="visible" r:id="rId8"/>
    <sheet name="KPI-Auswertung" sheetId="7" state="visible" r:id="rId9"/>
    <sheet name="Management-Dashboard" sheetId="8" state="visible" r:id="rId10"/>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<sst xmlns="http://schemas.openxmlformats.org/spreadsheetml/2006/main" count="2051" uniqueCount="602">
  <si>
    <t xml:space="preserve">KI-Sichtbarkeits-Audit OTC — neutrale Vorlage</t>
  </si>
  <si>
    <t xml:space="preserve">GEO/LLMO-Messinstrument: Wird eine Marke in KI-Antworten genannt und empfohlen? 10 OTC-Kategorien, 150 Prompts, 5 KI-Systeme.</t>
  </si>
  <si>
    <t xml:space="preserve">Autor</t>
  </si>
  <si>
    <t xml:space="preserve">Detlef Ostfeld</t>
  </si>
  <si>
    <t xml:space="preserve">Version / Stand</t>
  </si>
  <si>
    <t xml:space="preserve">1.0 · 26.08.2026</t>
  </si>
  <si>
    <t xml:space="preserve">Anwendbar auf</t>
  </si>
  <si>
    <t xml:space="preserve">Jede Marke, jeden Händler, jede Versandapotheke, jeden Hersteller im OTC- und Gesundheitsmarkt. Das Messobjekt wird im Blatt „Konfiguration“ einmal eingetragen und zieht sich durch alle Blätter.</t>
  </si>
  <si>
    <t xml:space="preserve">Zweck</t>
  </si>
  <si>
    <t xml:space="preserve">Wiederholbares Mess-Instrument. Es beantwortet nicht nur, OB eine Marke genannt wird, sondern ob sie empfohlen wird, an welcher Stelle, mit welcher Entität und gegen welche Wettbewerber.</t>
  </si>
  <si>
    <t xml:space="preserve">Umfang</t>
  </si>
  <si>
    <t xml:space="preserve">10 OTC-Kategorien · 150 Prompts (120 ungestützt + 30 gestützt) · 5 KI-Systeme · bis zu 3 Entitäten des Messobjekts.</t>
  </si>
  <si>
    <t xml:space="preserve">SO WIRD GEMESSEN</t>
  </si>
  <si>
    <t xml:space="preserve">Schritt 1</t>
  </si>
  <si>
    <t xml:space="preserve">Blatt „Konfiguration“ ausfüllen. Gelbe Zellen: Messobjekt, Entitäten, Wettbewerber, Zeitraum. Die gestützten Prompts im Katalog bauen sich daraus automatisch.</t>
  </si>
  <si>
    <t xml:space="preserve">Schritt 2</t>
  </si>
  <si>
    <t xml:space="preserve">Blatt „Prompt-Katalog“ öffnen. Ungestützte Prompts sind markenneutral und bleiben unverändert. Den gestützten Block getrennt testen und getrennt auswerten.</t>
  </si>
  <si>
    <t xml:space="preserve">Schritt 3</t>
  </si>
  <si>
    <t xml:space="preserve">Je KI-System einen NEUEN, nicht personalisierten Chat ohne Vorkontext öffnen. Prompt exakt so eingeben. Innerhalb einer Vergleichsserie den Prompt nicht verändern.</t>
  </si>
  <si>
    <t xml:space="preserve">Schritt 4</t>
  </si>
  <si>
    <t xml:space="preserve">Antwort im Blatt „Erhebungsbogen“ protokollieren: eine Zeile pro Prompt × System. Dropdowns nutzen, Anbieternamen in der Schreibweise aus der Konfiguration erfassen.</t>
  </si>
  <si>
    <t xml:space="preserve">Schritt 5</t>
  </si>
  <si>
    <t xml:space="preserve">Blätter „KPI-Auswertung“ und „Management-Dashboard“ rechnen automatisch. Von Hand nur die gelben Interpretationsfelder im Dashboard ausfüllen.</t>
  </si>
  <si>
    <t xml:space="preserve">Schritt 6</t>
  </si>
  <si>
    <t xml:space="preserve">System ohne Zugang: KEINE Zeile anlegen, stattdessen in der Notiz „nicht getestet“ vermerken. Niemals eine Antwort simulieren oder schätzen.</t>
  </si>
  <si>
    <t xml:space="preserve">Was diese Datei NICHT ist</t>
  </si>
  <si>
    <t xml:space="preserve">Sie enthält keine gemessenen Ergebnisse. Sie ist ausschließlich das Instrument: Katalog, Definitionen, Formeln. Zeile 5 im Erhebungsbogen ist eine grau markierte Beispielzeile zum Verständnis des Formats. Mit der ersten echten Erhebung überschreiben.</t>
  </si>
  <si>
    <t xml:space="preserve">Farb-Legende</t>
  </si>
  <si>
    <t xml:space="preserve">GELB = hier eintragen · BLAUE Schrift = manuell gesetzter Wert · SCHWARZ = Formel, nicht überschreiben · GRAU = Beispielzeile.</t>
  </si>
  <si>
    <t xml:space="preserve">Stichprobengröße</t>
  </si>
  <si>
    <t xml:space="preserve">Ein einzelner Lauf über 150 Prompts × 5 Systeme ergibt 750 Beobachtungen. Für belastbare Aussagen den Lauf über mehrere Wochen wiederholen, weil Antworten zwischen Sitzungen schwanken.</t>
  </si>
  <si>
    <t xml:space="preserve">Skalierung</t>
  </si>
  <si>
    <t xml:space="preserve">Für Volumen statt Handarbeit eignen sich GEO-Monitoring-Tools oder ein eigener API-Harness. Katalog und KPI-Schema sind so gebaut, dass sie sich 1:1 übertragen lassen.</t>
  </si>
  <si>
    <t xml:space="preserve">Blattverzeichnis</t>
  </si>
  <si>
    <t xml:space="preserve">1) Übersicht  2) Konfiguration  3) Kategorien  4) Methodik &amp; Definitionen  5) Prompt-Katalog  6) Erhebungsbogen  7) KPI-Auswertung  8) Management-Dashboard</t>
  </si>
  <si>
    <t xml:space="preserve">Konfiguration</t>
  </si>
  <si>
    <t xml:space="preserve">Einmal ausfüllen. Alle gelben Zellen sind Eingabefelder. Die gestützten Prompts und die Share-of-Voice-Tabelle greifen direkt auf diese Werte zu.</t>
  </si>
  <si>
    <t xml:space="preserve">A · Messobjekt</t>
  </si>
  <si>
    <t xml:space="preserve">Marke / Anbieter (Messobjekt)</t>
  </si>
  <si>
    <t xml:space="preserve">[Markenname]</t>
  </si>
  <si>
    <t xml:space="preserve">Pflichtfeld. Genau die Schreibweise, die in KI-Antworten zu erwarten ist.</t>
  </si>
  <si>
    <t xml:space="preserve">Entität 1</t>
  </si>
  <si>
    <t xml:space="preserve">[z. B. Stationärgeschäft / Onlineshop]</t>
  </si>
  <si>
    <t xml:space="preserve">Optional. Getrennt erfassen, wenn die Marke mehrere Auftritte hat.</t>
  </si>
  <si>
    <t xml:space="preserve">Entität 2</t>
  </si>
  <si>
    <t xml:space="preserve">[z. B. Versandapotheke]</t>
  </si>
  <si>
    <t xml:space="preserve">Optional.</t>
  </si>
  <si>
    <t xml:space="preserve">Entität 3</t>
  </si>
  <si>
    <t xml:space="preserve">[z. B. Eigenmarke]</t>
  </si>
  <si>
    <t xml:space="preserve">Land</t>
  </si>
  <si>
    <t xml:space="preserve">DE</t>
  </si>
  <si>
    <t xml:space="preserve">Marktkontext der Erhebung.</t>
  </si>
  <si>
    <t xml:space="preserve">Sprache</t>
  </si>
  <si>
    <t xml:space="preserve">de</t>
  </si>
  <si>
    <t xml:space="preserve">Sprache der Prompts.</t>
  </si>
  <si>
    <t xml:space="preserve">Erhebungszeitraum</t>
  </si>
  <si>
    <t xml:space="preserve">[TT.MM.JJJJ – TT.MM.JJJJ]</t>
  </si>
  <si>
    <t xml:space="preserve">Pflichtfeld. Ohne Zeitraum ist ein Ergebnis nicht überprüfbar.</t>
  </si>
  <si>
    <t xml:space="preserve">Verantwortlich</t>
  </si>
  <si>
    <t xml:space="preserve">[Name]</t>
  </si>
  <si>
    <t xml:space="preserve">Wer die Erhebung durchgeführt hat.</t>
  </si>
  <si>
    <t xml:space="preserve">B · Wettbewerber und Vergleichsanbieter</t>
  </si>
  <si>
    <t xml:space="preserve">Bis zu 12 Zeilen. Der Token ist der Textbaustein, nach dem die Share-of-Voice-Formeln im Erhebungsbogen suchen. Kurz und eindeutig halten.</t>
  </si>
  <si>
    <t xml:space="preserve">Kanonischer Name</t>
  </si>
  <si>
    <t xml:space="preserve">Typ</t>
  </si>
  <si>
    <t xml:space="preserve">Token (für Formeln)</t>
  </si>
  <si>
    <t xml:space="preserve">Schreibvarianten / Hinweis</t>
  </si>
  <si>
    <t xml:space="preserve">Versandapotheke A</t>
  </si>
  <si>
    <t xml:space="preserve">Versandapotheke</t>
  </si>
  <si>
    <t xml:space="preserve">BEISPIELZEILE — mit echtem Wettbewerber überschreiben</t>
  </si>
  <si>
    <t xml:space="preserve">Hinweis zur Tokenwahl</t>
  </si>
  <si>
    <t xml:space="preserve">Ein Token, der in einem anderen Namen vorkommt, verfälscht die Zählung. Vor dem Auswerten prüfen, ob jeder Token eindeutig ist.</t>
  </si>
  <si>
    <t xml:space="preserve">Die 10 größten OTC-Kategorien</t>
  </si>
  <si>
    <t xml:space="preserve">Auswahl nach Umsatz- und Absatzbedeutung im deutschen Selbstmedikationsmarkt. Rangfolge je nach Quelle und Jahr verschieden, siehe Quellenhinweis unten.</t>
  </si>
  <si>
    <t xml:space="preserve">Kürzel</t>
  </si>
  <si>
    <t xml:space="preserve">Kategorie</t>
  </si>
  <si>
    <t xml:space="preserve">Prompts</t>
  </si>
  <si>
    <t xml:space="preserve">Marktbedeutung und Hinweis zur Kategorieabgrenzung</t>
  </si>
  <si>
    <t xml:space="preserve">ERK</t>
  </si>
  <si>
    <t xml:space="preserve">Erkältung/Grippe</t>
  </si>
  <si>
    <t xml:space="preserve">Größte OTC-Gruppe. Husten- und Erkältungsmittel stehen für rund ein Drittel des Absatzes im OTC-Markt. Stark saisonal, 2025 Absatz -3,2 %.</t>
  </si>
  <si>
    <t xml:space="preserve">HUS</t>
  </si>
  <si>
    <t xml:space="preserve">Husten/Hals</t>
  </si>
  <si>
    <t xml:space="preserve">Teilmenge der Erkältungswelt, im Prompt-Verhalten aber eigenständig: Halsschmerz und Husten werden getrennt gesucht. Hohe Packungszahlen.</t>
  </si>
  <si>
    <t xml:space="preserve">SCH</t>
  </si>
  <si>
    <t xml:space="preserve">Schmerz/Fieber</t>
  </si>
  <si>
    <t xml:space="preserve">Nach Erkältung die zweitgrößte Indikationsgruppe. Nach Käuferreichweite die größte Einzelkategorie im OTC-Bereich.</t>
  </si>
  <si>
    <t xml:space="preserve">MUS</t>
  </si>
  <si>
    <t xml:space="preserve">Muskel/Gelenk</t>
  </si>
  <si>
    <t xml:space="preserve">Topische Schmerzmittel (Gele, Salben, Pflaster). Enthält traditionell den umsatzstärksten OTC-Einzelbrand des deutschen Marktes.</t>
  </si>
  <si>
    <t xml:space="preserve">MAG</t>
  </si>
  <si>
    <t xml:space="preserve">Magen/Darm</t>
  </si>
  <si>
    <t xml:space="preserve">Feste Top-3-Indikation nach Umsatz und Absatz. Sodbrennen, Verdauung, Durchfall, Reizmagen.</t>
  </si>
  <si>
    <t xml:space="preserve">VIT</t>
  </si>
  <si>
    <t xml:space="preserve">Vitamine/Mineralstoffe</t>
  </si>
  <si>
    <t xml:space="preserve">Mineralstoffe gehören zu den Top-10-Indikationen. Vitamine/Mineralstoffe/NEM waren 2025 die klarsten Wachstumsgewinner (Apothekenabsatz +7,5 %).</t>
  </si>
  <si>
    <t xml:space="preserve">ALL</t>
  </si>
  <si>
    <t xml:space="preserve">Allergie</t>
  </si>
  <si>
    <t xml:space="preserve">Top-5-Indikation nach Umsatz, stark saisonal (Pollenflug), hoher Anteil Selbstentscheider.</t>
  </si>
  <si>
    <t xml:space="preserve">HAU</t>
  </si>
  <si>
    <t xml:space="preserve">Haut/Wunde</t>
  </si>
  <si>
    <t xml:space="preserve">Dermatologika plus Wund- und Heilsalben. Grenzfläche zu Dermokosmetik, dadurch besonders viele nicht-pharmazeutische Wettbewerber in KI-Antworten.</t>
  </si>
  <si>
    <t xml:space="preserve">SLF</t>
  </si>
  <si>
    <t xml:space="preserve">Schlaf/Nerven</t>
  </si>
  <si>
    <t xml:space="preserve">Stress, innere Unruhe, Ein- und Durchschlafmittel. In Apothekenbefragungen regelmäßig unter den Topsellern.</t>
  </si>
  <si>
    <t xml:space="preserve">AUG</t>
  </si>
  <si>
    <t xml:space="preserve">Augen</t>
  </si>
  <si>
    <t xml:space="preserve">Trockenes Auge und Augenreizung. Kleiner als die Top-5, aber wachsend (Bildschirmarbeit) und mit hoher Beratungsnähe.</t>
  </si>
  <si>
    <t xml:space="preserve">Gesamt</t>
  </si>
  <si>
    <t xml:space="preserve">Quellen und Einschränkungen</t>
  </si>
  <si>
    <t xml:space="preserve">Marktrahmen</t>
  </si>
  <si>
    <t xml:space="preserve">BPI, OTC-Daten 2026: rund 941 Mio. verkaufte Packungen rezeptfreier Arzneimittel in Apotheken und Versandhandel 2025, Umsatz 11,5 Mrd. Euro (+2,6 %), Absatz rund -1 %.</t>
  </si>
  <si>
    <t xml:space="preserve">Top-Indikationen</t>
  </si>
  <si>
    <t xml:space="preserve">Pharma Deutschland / IQVIA OTC Report: Die zehn größten Indikationen stehen für rund 57 % des Umsatzes und 63 % des Absatzes im OTC-Apothekenmarkt. Regelmäßig vertreten: Erkältung und ihre Symptome, Schmerz, Magen-Darm, Mineralstoffe, Allergie.</t>
  </si>
  <si>
    <t xml:space="preserve">Wachstum</t>
  </si>
  <si>
    <t xml:space="preserve">Vitamine, Mineralstoffe und Nahrungsergänzung waren 2025 die Wachstumsgewinner (Apothekenabsatz +7,5 %), während Erkältungsmittel wegen einer schwachen Saison um 3,2 % nachgaben.</t>
  </si>
  <si>
    <t xml:space="preserve">Einschränkung</t>
  </si>
  <si>
    <t xml:space="preserve">Die Rangfolge unterscheidet sich je nachdem, ob nach Umsatz oder Absatz, mit oder ohne Versandhandel, mit oder ohne freiverkäufliche Produkte außerhalb der Apotheke gemessen wird. Diese Liste ist eine Arbeitsauswahl, keine amtliche Rangliste.</t>
  </si>
  <si>
    <t xml:space="preserve">Anpassung</t>
  </si>
  <si>
    <t xml:space="preserve">Kategorien lassen sich tauschen. Übliche Alternativen auf den Plätzen 9 und 10 sind Herz-Kreislauf/Venen, Frauengesundheit und Mund-/Rachenmittel. Beim Tausch die Kategoriebezeichnung in Prompt-Katalog, Erhebungsbogen (Dropdown), KPI-Auswertung und Dashboard identisch ändern.</t>
  </si>
  <si>
    <t xml:space="preserve">Methodik &amp; Definitionen</t>
  </si>
  <si>
    <t xml:space="preserve">KPI mit Zähler und Nenner, Bewertungsskalen, verbindliche Erhebungsregeln.</t>
  </si>
  <si>
    <t xml:space="preserve">A · Kennzahlen (KPI)</t>
  </si>
  <si>
    <t xml:space="preserve">Kennzahl</t>
  </si>
  <si>
    <t xml:space="preserve">Definition</t>
  </si>
  <si>
    <t xml:space="preserve">Zähler</t>
  </si>
  <si>
    <t xml:space="preserve">Nenner</t>
  </si>
  <si>
    <t xml:space="preserve">Mention Rate</t>
  </si>
  <si>
    <t xml:space="preserve">Anteil der Antworten, in denen das Messobjekt überhaupt genannt wird.</t>
  </si>
  <si>
    <t xml:space="preserve">Antworten mit Nennung</t>
  </si>
  <si>
    <t xml:space="preserve">Alle ausgewerteten Antworten</t>
  </si>
  <si>
    <t xml:space="preserve">Recommendation Rate</t>
  </si>
  <si>
    <t xml:space="preserve">Anteil mit ausdrücklicher Empfehlung, nicht bloßer Erwähnung.</t>
  </si>
  <si>
    <t xml:space="preserve">Antworten mit Empfehlung</t>
  </si>
  <si>
    <t xml:space="preserve">First Mention Rate</t>
  </si>
  <si>
    <t xml:space="preserve">Anteil, in denen das Messobjekt zuerst genannt wird.</t>
  </si>
  <si>
    <t xml:space="preserve">Antworten mit Erst-Nennung</t>
  </si>
  <si>
    <t xml:space="preserve">Citation Rate</t>
  </si>
  <si>
    <t xml:space="preserve">Anteil, in denen das Messobjekt als Quelle zitiert oder verlinkt wird.</t>
  </si>
  <si>
    <t xml:space="preserve">Antworten mit Quelle/Link</t>
  </si>
  <si>
    <t xml:space="preserve">Product Mention Rate</t>
  </si>
  <si>
    <t xml:space="preserve">Anteil mit konkreter Produkt- oder Eigenmarken-Nennung.</t>
  </si>
  <si>
    <t xml:space="preserve">Antworten mit Produktnennung</t>
  </si>
  <si>
    <t xml:space="preserve">Share of Voice</t>
  </si>
  <si>
    <t xml:space="preserve">Anteil eines Anbieters an allen erfassten Anbieter-Nennungen.</t>
  </si>
  <si>
    <t xml:space="preserve">Nennungen des Anbieters</t>
  </si>
  <si>
    <t xml:space="preserve">Summe aller Anbieter-Nennungen</t>
  </si>
  <si>
    <t xml:space="preserve">Ø Nennungsposition</t>
  </si>
  <si>
    <t xml:space="preserve">Mittlere Position der Nennung in der Antwort, 1 = zuerst.</t>
  </si>
  <si>
    <t xml:space="preserve">Summe der Positionen</t>
  </si>
  <si>
    <t xml:space="preserve">Anzahl Antworten mit Nennung</t>
  </si>
  <si>
    <t xml:space="preserve">Sentiment-Split</t>
  </si>
  <si>
    <t xml:space="preserve">Verteilung positiv / neutral / kritisch.</t>
  </si>
  <si>
    <t xml:space="preserve">Nennungen je Tonalität</t>
  </si>
  <si>
    <t xml:space="preserve">Alle Nennungen des Messobjekts</t>
  </si>
  <si>
    <t xml:space="preserve">Sichtbarkeit je Journey-Phase</t>
  </si>
  <si>
    <t xml:space="preserve">Mention- und Recommendation Rate gefiltert nach Phase.</t>
  </si>
  <si>
    <t xml:space="preserve">Nennungen in der Phase</t>
  </si>
  <si>
    <t xml:space="preserve">Antworten in der Phase</t>
  </si>
  <si>
    <t xml:space="preserve">Sichtbarkeit je Intention</t>
  </si>
  <si>
    <t xml:space="preserve">Sichtbarkeit nach Informations- gegen Kaufintention.</t>
  </si>
  <si>
    <t xml:space="preserve">Nennungen je Intention</t>
  </si>
  <si>
    <t xml:space="preserve">Antworten je Intention</t>
  </si>
  <si>
    <t xml:space="preserve">B · Bewertungsskalen (im Erhebungsbogen als Dropdown)</t>
  </si>
  <si>
    <t xml:space="preserve">genannt / empfohlen / zitiert</t>
  </si>
  <si>
    <t xml:space="preserve">Ja | Nein</t>
  </si>
  <si>
    <t xml:space="preserve">Entität</t>
  </si>
  <si>
    <t xml:space="preserve">Freitext, Schreibweise aus der Konfiguration übernehmen</t>
  </si>
  <si>
    <t xml:space="preserve">Empfehlungsstärke</t>
  </si>
  <si>
    <t xml:space="preserve">keine | schwach | mittel | stark | exklusiv</t>
  </si>
  <si>
    <t xml:space="preserve">Sentiment</t>
  </si>
  <si>
    <t xml:space="preserve">positiv | neutral | kritisch | –</t>
  </si>
  <si>
    <t xml:space="preserve">Medizinische Sicherheit der Antwort</t>
  </si>
  <si>
    <t xml:space="preserve">sicher | teils sicher | unsicher | Warnzeichen fehlt</t>
  </si>
  <si>
    <t xml:space="preserve">Kaufnähe (im Prompt-Katalog)</t>
  </si>
  <si>
    <t xml:space="preserve">niedrig | mittel | hoch</t>
  </si>
  <si>
    <t xml:space="preserve">Medizinisches Risiko (im Prompt-Katalog)</t>
  </si>
  <si>
    <t xml:space="preserve">C · Erhebungsregeln (verbindlich)</t>
  </si>
  <si>
    <t xml:space="preserve">R1</t>
  </si>
  <si>
    <t xml:space="preserve">Nennung ist keine Empfehlung. Eine bloße Erwähnung als möglicher Bezugsort zählt nicht als Empfehlung. Nur wertende, aktive Empfehlungssprache zählt.</t>
  </si>
  <si>
    <t xml:space="preserve">R2</t>
  </si>
  <si>
    <t xml:space="preserve">Ungestützt und gestützt strikt trennen. Der Hauptlauf nutzt markenneutrale Prompts. Gestützte Prompts werden separat erfasst und nie mit dem neutralen Lauf vermischt.</t>
  </si>
  <si>
    <t xml:space="preserve">R3</t>
  </si>
  <si>
    <t xml:space="preserve">Neue, nicht personalisierte Chats. Jeder Prompt in frischem Kontext, ohne vorherige Konversation, möglichst ohne Login-Personalisierung.</t>
  </si>
  <si>
    <t xml:space="preserve">R4</t>
  </si>
  <si>
    <t xml:space="preserve">Prompts innerhalb einer Serie nicht verändern. Formulierung und Reihenfolge konstant halten, sonst ist der Systemvergleich wertlos.</t>
  </si>
  <si>
    <t xml:space="preserve">R5</t>
  </si>
  <si>
    <t xml:space="preserve">Entitäten getrennt erfassen. Stationärgeschäft, Versandhandel und Eigenmarke sind für ein KI-System unterschiedliche Objekte und dürfen nicht zusammengezählt werden.</t>
  </si>
  <si>
    <t xml:space="preserve">R6</t>
  </si>
  <si>
    <t xml:space="preserve">Namen normalisieren. Anbieter in der Schreibweise aus der Konfiguration erfassen, sonst greifen die Share-of-Voice-Formeln nicht.</t>
  </si>
  <si>
    <t xml:space="preserve">R7</t>
  </si>
  <si>
    <t xml:space="preserve">Kleine Stichprobe ist keine Repräsentativität. Zähler und Nenner immer offen ausweisen. Die KPI-Blätter zeigen den Nenner an.</t>
  </si>
  <si>
    <t xml:space="preserve">R8</t>
  </si>
  <si>
    <t xml:space="preserve">Datum, Uhrzeit, System und Modellversion jeder Antwort dokumentieren. Version soweit erkennbar, sonst „n/a“.</t>
  </si>
  <si>
    <t xml:space="preserve">R9</t>
  </si>
  <si>
    <t xml:space="preserve">Beobachtung, mögliche Ursache und Empfehlung getrennt halten. Was gemessen wurde, ist kein Beleg dafür, warum es so ist.</t>
  </si>
  <si>
    <t xml:space="preserve">R10</t>
  </si>
  <si>
    <t xml:space="preserve">Medizinische Inhalte nicht bewerten, sondern protokollieren. Das Feld „Med. Sicherheit“ dokumentiert, ob eine Antwort Warnhinweise enthält. Es ersetzt keine fachliche Prüfung.</t>
  </si>
  <si>
    <t xml:space="preserve">Prompt-Katalog</t>
  </si>
  <si>
    <t xml:space="preserve">150 Verbraucher-Prompts über 10 OTC-Kategorien. Je Kategorie dasselbe 15-Slot-Raster, damit Kategorien untereinander vergleichbar bleiben. Slots 13–15 sind gestützt und bauen sich aus dem Blatt „Konfiguration“.</t>
  </si>
  <si>
    <t xml:space="preserve">Prompt-ID</t>
  </si>
  <si>
    <t xml:space="preserve">Prompt</t>
  </si>
  <si>
    <t xml:space="preserve">Journey-Phase</t>
  </si>
  <si>
    <t xml:space="preserve">Intention</t>
  </si>
  <si>
    <t xml:space="preserve">Kaufnähe</t>
  </si>
  <si>
    <t xml:space="preserve">Med. Risiko</t>
  </si>
  <si>
    <t xml:space="preserve">Prompt-Typ</t>
  </si>
  <si>
    <t xml:space="preserve">Priorität</t>
  </si>
  <si>
    <t xml:space="preserve">Geeigneter Absender</t>
  </si>
  <si>
    <t xml:space="preserve">Empfohlenes Format</t>
  </si>
  <si>
    <t xml:space="preserve">ERK-01</t>
  </si>
  <si>
    <t xml:space="preserve">Was hilft bei einer beginnenden Erkältung?</t>
  </si>
  <si>
    <t xml:space="preserve">Symptom/Orientierung</t>
  </si>
  <si>
    <t xml:space="preserve">Information</t>
  </si>
  <si>
    <t xml:space="preserve">niedrig</t>
  </si>
  <si>
    <t xml:space="preserve">mittel</t>
  </si>
  <si>
    <t xml:space="preserve">ungestützt</t>
  </si>
  <si>
    <t xml:space="preserve">Hoch</t>
  </si>
  <si>
    <t xml:space="preserve">Apotheker:in</t>
  </si>
  <si>
    <t xml:space="preserve">Ratgeber-Artikel</t>
  </si>
  <si>
    <t xml:space="preserve">ERK-02</t>
  </si>
  <si>
    <t xml:space="preserve">Wie lange dauert eine normale Erkältung?</t>
  </si>
  <si>
    <t xml:space="preserve">Ursache/Einordnung</t>
  </si>
  <si>
    <t xml:space="preserve">Mittel</t>
  </si>
  <si>
    <t xml:space="preserve">Ärzt:in</t>
  </si>
  <si>
    <t xml:space="preserve">ERK-03</t>
  </si>
  <si>
    <t xml:space="preserve">Was ist besser bei Erkältung, ein Kombipräparat oder Einzelwirkstoffe?</t>
  </si>
  <si>
    <t xml:space="preserve">Wirkstoff-/Mittelvergleich</t>
  </si>
  <si>
    <t xml:space="preserve">Recherche/Vergleich</t>
  </si>
  <si>
    <t xml:space="preserve">Vergleichstabelle</t>
  </si>
  <si>
    <t xml:space="preserve">ERK-04</t>
  </si>
  <si>
    <t xml:space="preserve">Welches Erkältungsmittel hilft wirklich?</t>
  </si>
  <si>
    <t xml:space="preserve">Produktsuche</t>
  </si>
  <si>
    <t xml:space="preserve">ERK-05</t>
  </si>
  <si>
    <t xml:space="preserve">Was ist das beste Mittel gegen Erkältung?</t>
  </si>
  <si>
    <t xml:space="preserve">Bester/Empfohlener</t>
  </si>
  <si>
    <t xml:space="preserve">hoch</t>
  </si>
  <si>
    <t xml:space="preserve">Redaktion/Ratgeber</t>
  </si>
  <si>
    <t xml:space="preserve">ERK-06</t>
  </si>
  <si>
    <t xml:space="preserve">Welche Erkältungsmarke wird am häufigsten empfohlen?</t>
  </si>
  <si>
    <t xml:space="preserve">Markenvergleich</t>
  </si>
  <si>
    <t xml:space="preserve">ERK-07</t>
  </si>
  <si>
    <t xml:space="preserve">Ist ein günstiges Erkältungsmittel genauso gut wie ein teures?</t>
  </si>
  <si>
    <t xml:space="preserve">Preis/Verfügbarkeit</t>
  </si>
  <si>
    <t xml:space="preserve">Händler</t>
  </si>
  <si>
    <t xml:space="preserve">ERK-08</t>
  </si>
  <si>
    <t xml:space="preserve">Bekomme ich Erkältungsmittel in der Drogerie oder nur in der Apotheke?</t>
  </si>
  <si>
    <t xml:space="preserve">Bezugsquelle/Apothekenpflicht</t>
  </si>
  <si>
    <t xml:space="preserve">FAQ-Snippet</t>
  </si>
  <si>
    <t xml:space="preserve">ERK-09</t>
  </si>
  <si>
    <t xml:space="preserve">Wann sollte ich bei einer Erkältung zum Arzt?</t>
  </si>
  <si>
    <t xml:space="preserve">Beratungsbedarf</t>
  </si>
  <si>
    <t xml:space="preserve">ERK-10</t>
  </si>
  <si>
    <t xml:space="preserve">Was hilft meinem Kind bei einer Erkältung?</t>
  </si>
  <si>
    <t xml:space="preserve">Zielgruppe/Sonderfall</t>
  </si>
  <si>
    <t xml:space="preserve">ERK-11</t>
  </si>
  <si>
    <t xml:space="preserve">Wo kaufe ich Erkältungsmittel am besten?</t>
  </si>
  <si>
    <t xml:space="preserve">Händlersuche</t>
  </si>
  <si>
    <t xml:space="preserve">Transaktion</t>
  </si>
  <si>
    <t xml:space="preserve">Produktseite</t>
  </si>
  <si>
    <t xml:space="preserve">ERK-12</t>
  </si>
  <si>
    <t xml:space="preserve">Welches Erkältungsmittel soll ich jetzt kaufen?</t>
  </si>
  <si>
    <t xml:space="preserve">Kaufentscheidung</t>
  </si>
  <si>
    <t xml:space="preserve">ERK-13</t>
  </si>
  <si>
    <t xml:space="preserve">Marken-Check (gestützt)</t>
  </si>
  <si>
    <t xml:space="preserve">gestützt</t>
  </si>
  <si>
    <t xml:space="preserve">ERK-14</t>
  </si>
  <si>
    <t xml:space="preserve">Wettbewerbsvergleich (gestützt)</t>
  </si>
  <si>
    <t xml:space="preserve">ERK-15</t>
  </si>
  <si>
    <t xml:space="preserve">Bezugsquelle (gestützt)</t>
  </si>
  <si>
    <t xml:space="preserve">HUS-01</t>
  </si>
  <si>
    <t xml:space="preserve">Was hilft schnell gegen Halsschmerzen?</t>
  </si>
  <si>
    <t xml:space="preserve">HUS-02</t>
  </si>
  <si>
    <t xml:space="preserve">Warum wird aus trockenem Husten nach ein paar Tagen schleimiger Husten?</t>
  </si>
  <si>
    <t xml:space="preserve">HUS-03</t>
  </si>
  <si>
    <t xml:space="preserve">Was ist besser bei Husten, ein Hustenlöser oder ein Hustenstiller?</t>
  </si>
  <si>
    <t xml:space="preserve">HUS-04</t>
  </si>
  <si>
    <t xml:space="preserve">Welcher Hustensaft ist gut?</t>
  </si>
  <si>
    <t xml:space="preserve">HUS-05</t>
  </si>
  <si>
    <t xml:space="preserve">Was ist das beste Mittel gegen Halsschmerzen?</t>
  </si>
  <si>
    <t xml:space="preserve">HUS-06</t>
  </si>
  <si>
    <t xml:space="preserve">Welche Marke bei Hustenmitteln ist die beste?</t>
  </si>
  <si>
    <t xml:space="preserve">HUS-07</t>
  </si>
  <si>
    <t xml:space="preserve">Lohnt sich ein teurer Hustensaft oder tut es auch ein günstiger?</t>
  </si>
  <si>
    <t xml:space="preserve">HUS-08</t>
  </si>
  <si>
    <t xml:space="preserve">Bekomme ich Halstabletten auch außerhalb der Apotheke?</t>
  </si>
  <si>
    <t xml:space="preserve">HUS-09</t>
  </si>
  <si>
    <t xml:space="preserve">Ab wann sind Halsschmerzen ein Fall für den Arzt?</t>
  </si>
  <si>
    <t xml:space="preserve">HUS-10</t>
  </si>
  <si>
    <t xml:space="preserve">Was hilft Kindern bei Husten?</t>
  </si>
  <si>
    <t xml:space="preserve">HUS-11</t>
  </si>
  <si>
    <t xml:space="preserve">Wo kaufe ich Hustenmittel am besten?</t>
  </si>
  <si>
    <t xml:space="preserve">HUS-12</t>
  </si>
  <si>
    <t xml:space="preserve">Welches Mittel gegen Halsschmerzen soll ich kaufen?</t>
  </si>
  <si>
    <t xml:space="preserve">HUS-13</t>
  </si>
  <si>
    <t xml:space="preserve">HUS-14</t>
  </si>
  <si>
    <t xml:space="preserve">HUS-15</t>
  </si>
  <si>
    <t xml:space="preserve">SCH-01</t>
  </si>
  <si>
    <t xml:space="preserve">Was hilft schnell gegen Kopfschmerzen?</t>
  </si>
  <si>
    <t xml:space="preserve">SCH-02</t>
  </si>
  <si>
    <t xml:space="preserve">Woher kommen häufige Kopfschmerzen?</t>
  </si>
  <si>
    <t xml:space="preserve">SCH-03</t>
  </si>
  <si>
    <t xml:space="preserve">Was ist besser bei Schmerzen, Ibuprofen oder Paracetamol?</t>
  </si>
  <si>
    <t xml:space="preserve">SCH-04</t>
  </si>
  <si>
    <t xml:space="preserve">Welche Schmerztablette hilft am besten?</t>
  </si>
  <si>
    <t xml:space="preserve">SCH-05</t>
  </si>
  <si>
    <t xml:space="preserve">Was ist das beste rezeptfreie Schmerzmittel?</t>
  </si>
  <si>
    <t xml:space="preserve">SCH-06</t>
  </si>
  <si>
    <t xml:space="preserve">Welche Schmerzmittel-Marke ist die beste?</t>
  </si>
  <si>
    <t xml:space="preserve">SCH-07</t>
  </si>
  <si>
    <t xml:space="preserve">Sind günstige Schmerztabletten genauso wirksam wie Markenprodukte?</t>
  </si>
  <si>
    <t xml:space="preserve">SCH-08</t>
  </si>
  <si>
    <t xml:space="preserve">Bekomme ich Schmerztabletten nur in der Apotheke oder auch in der Drogerie?</t>
  </si>
  <si>
    <t xml:space="preserve">SCH-09</t>
  </si>
  <si>
    <t xml:space="preserve">Ab wann sollte ich mit Kopfschmerzen zum Arzt?</t>
  </si>
  <si>
    <t xml:space="preserve">SCH-10</t>
  </si>
  <si>
    <t xml:space="preserve">Welches Schmerzmittel ist in der Schwangerschaft geeignet?</t>
  </si>
  <si>
    <t xml:space="preserve">SCH-11</t>
  </si>
  <si>
    <t xml:space="preserve">Wo kaufe ich Schmerztabletten am besten?</t>
  </si>
  <si>
    <t xml:space="preserve">SCH-12</t>
  </si>
  <si>
    <t xml:space="preserve">Welche Schmerztabletten soll ich kaufen?</t>
  </si>
  <si>
    <t xml:space="preserve">SCH-13</t>
  </si>
  <si>
    <t xml:space="preserve">SCH-14</t>
  </si>
  <si>
    <t xml:space="preserve">SCH-15</t>
  </si>
  <si>
    <t xml:space="preserve">MUS-01</t>
  </si>
  <si>
    <t xml:space="preserve">Was hilft bei Rückenschmerzen?</t>
  </si>
  <si>
    <t xml:space="preserve">MUS-02</t>
  </si>
  <si>
    <t xml:space="preserve">Warum tun meine Gelenke morgens weh?</t>
  </si>
  <si>
    <t xml:space="preserve">MUS-03</t>
  </si>
  <si>
    <t xml:space="preserve">Was ist besser bei Muskelschmerzen, eine Salbe oder eine Tablette?</t>
  </si>
  <si>
    <t xml:space="preserve">MUS-04</t>
  </si>
  <si>
    <t xml:space="preserve">Welche Schmerzsalbe hilft bei Verspannungen?</t>
  </si>
  <si>
    <t xml:space="preserve">MUS-05</t>
  </si>
  <si>
    <t xml:space="preserve">Was ist das beste Mittel gegen Gelenkschmerzen?</t>
  </si>
  <si>
    <t xml:space="preserve">MUS-06</t>
  </si>
  <si>
    <t xml:space="preserve">Welche Marke bei Schmerzgel ist die beste?</t>
  </si>
  <si>
    <t xml:space="preserve">MUS-07</t>
  </si>
  <si>
    <t xml:space="preserve">Lohnt sich ein teures Schmerzgel oder reicht ein günstiges?</t>
  </si>
  <si>
    <t xml:space="preserve">MUS-08</t>
  </si>
  <si>
    <t xml:space="preserve">Bekomme ich Schmerzgel auch im Drogeriemarkt oder Supermarkt?</t>
  </si>
  <si>
    <t xml:space="preserve">MUS-09</t>
  </si>
  <si>
    <t xml:space="preserve">Wann sollte ich mit Rückenschmerzen zum Arzt?</t>
  </si>
  <si>
    <t xml:space="preserve">MUS-10</t>
  </si>
  <si>
    <t xml:space="preserve">Welches Schmerzgel ist für Sportler geeignet?</t>
  </si>
  <si>
    <t xml:space="preserve">MUS-11</t>
  </si>
  <si>
    <t xml:space="preserve">Wo kaufe ich Schmerzgel am besten?</t>
  </si>
  <si>
    <t xml:space="preserve">MUS-12</t>
  </si>
  <si>
    <t xml:space="preserve">Welches Mittel gegen Verspannungen soll ich kaufen?</t>
  </si>
  <si>
    <t xml:space="preserve">MUS-13</t>
  </si>
  <si>
    <t xml:space="preserve">MUS-14</t>
  </si>
  <si>
    <t xml:space="preserve">MUS-15</t>
  </si>
  <si>
    <t xml:space="preserve">MAG-01</t>
  </si>
  <si>
    <t xml:space="preserve">Was hilft bei Sodbrennen?</t>
  </si>
  <si>
    <t xml:space="preserve">MAG-02</t>
  </si>
  <si>
    <t xml:space="preserve">Woher kommt ständiges Völlegefühl nach dem Essen?</t>
  </si>
  <si>
    <t xml:space="preserve">MAG-03</t>
  </si>
  <si>
    <t xml:space="preserve">Was ist besser bei Sodbrennen, ein Antazidum oder ein Protonenpumpenhemmer?</t>
  </si>
  <si>
    <t xml:space="preserve">MAG-04</t>
  </si>
  <si>
    <t xml:space="preserve">Welches Mittel hilft bei Durchfall?</t>
  </si>
  <si>
    <t xml:space="preserve">MAG-05</t>
  </si>
  <si>
    <t xml:space="preserve">Was ist das beste Mittel gegen Sodbrennen?</t>
  </si>
  <si>
    <t xml:space="preserve">MAG-06</t>
  </si>
  <si>
    <t xml:space="preserve">Welche Marke bei Magen-Darm-Mitteln wird am häufigsten empfohlen?</t>
  </si>
  <si>
    <t xml:space="preserve">MAG-07</t>
  </si>
  <si>
    <t xml:space="preserve">Sind günstige Magentabletten so gut wie teure?</t>
  </si>
  <si>
    <t xml:space="preserve">MAG-08</t>
  </si>
  <si>
    <t xml:space="preserve">Bekomme ich Mittel gegen Sodbrennen auch ohne Apotheke?</t>
  </si>
  <si>
    <t xml:space="preserve">MAG-09</t>
  </si>
  <si>
    <t xml:space="preserve">Ab wann sind Magenbeschwerden ein Fall für den Arzt?</t>
  </si>
  <si>
    <t xml:space="preserve">MAG-10</t>
  </si>
  <si>
    <t xml:space="preserve">Was hilft Kindern bei einem Magen-Darm-Infekt?</t>
  </si>
  <si>
    <t xml:space="preserve">MAG-11</t>
  </si>
  <si>
    <t xml:space="preserve">Wo kaufe ich Mittel gegen Sodbrennen am besten?</t>
  </si>
  <si>
    <t xml:space="preserve">MAG-12</t>
  </si>
  <si>
    <t xml:space="preserve">Welches Magenmittel soll ich kaufen?</t>
  </si>
  <si>
    <t xml:space="preserve">MAG-13</t>
  </si>
  <si>
    <t xml:space="preserve">MAG-14</t>
  </si>
  <si>
    <t xml:space="preserve">MAG-15</t>
  </si>
  <si>
    <t xml:space="preserve">VIT-01</t>
  </si>
  <si>
    <t xml:space="preserve">Woran erkenne ich einen Magnesiummangel?</t>
  </si>
  <si>
    <t xml:space="preserve">VIT-02</t>
  </si>
  <si>
    <t xml:space="preserve">Wofür braucht der Körper Vitamin D?</t>
  </si>
  <si>
    <t xml:space="preserve">VIT-03</t>
  </si>
  <si>
    <t xml:space="preserve">Was ist besser, Magnesiumcitrat oder Magnesiumoxid?</t>
  </si>
  <si>
    <t xml:space="preserve">VIT-04</t>
  </si>
  <si>
    <t xml:space="preserve">Welches Magnesiumpräparat ist sinnvoll?</t>
  </si>
  <si>
    <t xml:space="preserve">VIT-05</t>
  </si>
  <si>
    <t xml:space="preserve">Was ist das beste Vitamin-D-Präparat?</t>
  </si>
  <si>
    <t xml:space="preserve">VIT-06</t>
  </si>
  <si>
    <t xml:space="preserve">Welche Marke bei Nahrungsergänzung ist die beste?</t>
  </si>
  <si>
    <t xml:space="preserve">VIT-07</t>
  </si>
  <si>
    <t xml:space="preserve">Ist teures Magnesium besser als günstiges?</t>
  </si>
  <si>
    <t xml:space="preserve">VIT-08</t>
  </si>
  <si>
    <t xml:space="preserve">Bekomme ich gute Nahrungsergänzung in der Drogerie oder besser in der Apotheke?</t>
  </si>
  <si>
    <t xml:space="preserve">VIT-09</t>
  </si>
  <si>
    <t xml:space="preserve">Sollte ich Vitamin D einfach einnehmen oder erst den Wert messen lassen?</t>
  </si>
  <si>
    <t xml:space="preserve">VIT-10</t>
  </si>
  <si>
    <t xml:space="preserve">Welches Magnesium ist in der Schwangerschaft geeignet?</t>
  </si>
  <si>
    <t xml:space="preserve">VIT-11</t>
  </si>
  <si>
    <t xml:space="preserve">Wo kaufe ich Magnesium am besten?</t>
  </si>
  <si>
    <t xml:space="preserve">VIT-12</t>
  </si>
  <si>
    <t xml:space="preserve">Welches Vitaminpräparat soll ich kaufen?</t>
  </si>
  <si>
    <t xml:space="preserve">VIT-13</t>
  </si>
  <si>
    <t xml:space="preserve">VIT-14</t>
  </si>
  <si>
    <t xml:space="preserve">VIT-15</t>
  </si>
  <si>
    <t xml:space="preserve">ALL-01</t>
  </si>
  <si>
    <t xml:space="preserve">Was hilft bei Heuschnupfen?</t>
  </si>
  <si>
    <t xml:space="preserve">ALL-02</t>
  </si>
  <si>
    <t xml:space="preserve">Warum wird meine Allergie jedes Jahr schlimmer?</t>
  </si>
  <si>
    <t xml:space="preserve">ALL-03</t>
  </si>
  <si>
    <t xml:space="preserve">Was ist besser bei Heuschnupfen, Tabletten oder Nasenspray?</t>
  </si>
  <si>
    <t xml:space="preserve">ALL-04</t>
  </si>
  <si>
    <t xml:space="preserve">Welches Antihistaminikum macht am wenigsten müde?</t>
  </si>
  <si>
    <t xml:space="preserve">ALL-05</t>
  </si>
  <si>
    <t xml:space="preserve">Was ist das beste Mittel gegen Heuschnupfen?</t>
  </si>
  <si>
    <t xml:space="preserve">ALL-06</t>
  </si>
  <si>
    <t xml:space="preserve">Welche Allergiemarke ist die beste?</t>
  </si>
  <si>
    <t xml:space="preserve">ALL-07</t>
  </si>
  <si>
    <t xml:space="preserve">Sind günstige Allergietabletten genauso gut wie teure?</t>
  </si>
  <si>
    <t xml:space="preserve">ALL-08</t>
  </si>
  <si>
    <t xml:space="preserve">Bekomme ich Allergietabletten rezeptfrei auch ohne Apotheke?</t>
  </si>
  <si>
    <t xml:space="preserve">ALL-09</t>
  </si>
  <si>
    <t xml:space="preserve">Wann sollte ich mit einer Allergie zum Arzt, statt selbst zu behandeln?</t>
  </si>
  <si>
    <t xml:space="preserve">ALL-10</t>
  </si>
  <si>
    <t xml:space="preserve">Was hilft Kindern bei Heuschnupfen?</t>
  </si>
  <si>
    <t xml:space="preserve">ALL-11</t>
  </si>
  <si>
    <t xml:space="preserve">Wo kaufe ich Allergiemittel am besten?</t>
  </si>
  <si>
    <t xml:space="preserve">ALL-12</t>
  </si>
  <si>
    <t xml:space="preserve">Welche Allergietabletten soll ich kaufen?</t>
  </si>
  <si>
    <t xml:space="preserve">ALL-13</t>
  </si>
  <si>
    <t xml:space="preserve">ALL-14</t>
  </si>
  <si>
    <t xml:space="preserve">ALL-15</t>
  </si>
  <si>
    <t xml:space="preserve">HAU-01</t>
  </si>
  <si>
    <t xml:space="preserve">Was hilft bei sehr trockener Haut?</t>
  </si>
  <si>
    <t xml:space="preserve">HAU-02</t>
  </si>
  <si>
    <t xml:space="preserve">Warum wird meine Haut im Winter so trocken?</t>
  </si>
  <si>
    <t xml:space="preserve">HAU-03</t>
  </si>
  <si>
    <t xml:space="preserve">Was ist besser bei trockener Haut, Urea oder Glycerin?</t>
  </si>
  <si>
    <t xml:space="preserve">HAU-04</t>
  </si>
  <si>
    <t xml:space="preserve">Welche Creme ist gut bei trockener Haut?</t>
  </si>
  <si>
    <t xml:space="preserve">HAU-05</t>
  </si>
  <si>
    <t xml:space="preserve">Was ist die beste Wund- und Heilsalbe?</t>
  </si>
  <si>
    <t xml:space="preserve">HAU-06</t>
  </si>
  <si>
    <t xml:space="preserve">Welche Hautpflege-Marke wird am häufigsten empfohlen?</t>
  </si>
  <si>
    <t xml:space="preserve">HAU-07</t>
  </si>
  <si>
    <t xml:space="preserve">Lohnt sich eine teure Apothekencreme oder reicht Drogerie?</t>
  </si>
  <si>
    <t xml:space="preserve">HAU-08</t>
  </si>
  <si>
    <t xml:space="preserve">Bekomme ich Wundsalbe auch ohne Apotheke?</t>
  </si>
  <si>
    <t xml:space="preserve">HAU-09</t>
  </si>
  <si>
    <t xml:space="preserve">Wann sollte ich mit einem Hautproblem zum Hautarzt?</t>
  </si>
  <si>
    <t xml:space="preserve">HAU-10</t>
  </si>
  <si>
    <t xml:space="preserve">Welche Creme ist für Babyhaut geeignet?</t>
  </si>
  <si>
    <t xml:space="preserve">HAU-11</t>
  </si>
  <si>
    <t xml:space="preserve">Wo kaufe ich Pflege gegen trockene Haut am besten?</t>
  </si>
  <si>
    <t xml:space="preserve">HAU-12</t>
  </si>
  <si>
    <t xml:space="preserve">Welche Creme gegen trockene Haut soll ich kaufen?</t>
  </si>
  <si>
    <t xml:space="preserve">HAU-13</t>
  </si>
  <si>
    <t xml:space="preserve">HAU-14</t>
  </si>
  <si>
    <t xml:space="preserve">HAU-15</t>
  </si>
  <si>
    <t xml:space="preserve">SLF-01</t>
  </si>
  <si>
    <t xml:space="preserve">Was hilft, wenn ich nachts nicht durchschlafe?</t>
  </si>
  <si>
    <t xml:space="preserve">SLF-02</t>
  </si>
  <si>
    <t xml:space="preserve">Warum liege ich abends stundenlang wach?</t>
  </si>
  <si>
    <t xml:space="preserve">SLF-03</t>
  </si>
  <si>
    <t xml:space="preserve">Was ist besser bei Einschlafproblemen, Baldrian oder Melatonin?</t>
  </si>
  <si>
    <t xml:space="preserve">SLF-04</t>
  </si>
  <si>
    <t xml:space="preserve">Welches rezeptfreie Schlafmittel wirkt?</t>
  </si>
  <si>
    <t xml:space="preserve">SLF-05</t>
  </si>
  <si>
    <t xml:space="preserve">Was ist das beste Mittel gegen innere Unruhe?</t>
  </si>
  <si>
    <t xml:space="preserve">SLF-06</t>
  </si>
  <si>
    <t xml:space="preserve">Welche Marke bei pflanzlichen Beruhigungsmitteln ist gut?</t>
  </si>
  <si>
    <t xml:space="preserve">SLF-07</t>
  </si>
  <si>
    <t xml:space="preserve">Ist günstiges Melatonin genauso wirksam wie teures?</t>
  </si>
  <si>
    <t xml:space="preserve">SLF-08</t>
  </si>
  <si>
    <t xml:space="preserve">Bekomme ich Melatonin in der Drogerie oder nur in der Apotheke?</t>
  </si>
  <si>
    <t xml:space="preserve">SLF-09</t>
  </si>
  <si>
    <t xml:space="preserve">Ab wann sind Schlafprobleme ein Fall für den Arzt?</t>
  </si>
  <si>
    <t xml:space="preserve">SLF-10</t>
  </si>
  <si>
    <t xml:space="preserve">Welches Schlafmittel ist für ältere Menschen geeignet?</t>
  </si>
  <si>
    <t xml:space="preserve">SLF-11</t>
  </si>
  <si>
    <t xml:space="preserve">Wo kaufe ich Melatonin am besten?</t>
  </si>
  <si>
    <t xml:space="preserve">SLF-12</t>
  </si>
  <si>
    <t xml:space="preserve">Welches Mittel gegen Schlafprobleme soll ich kaufen?</t>
  </si>
  <si>
    <t xml:space="preserve">SLF-13</t>
  </si>
  <si>
    <t xml:space="preserve">SLF-14</t>
  </si>
  <si>
    <t xml:space="preserve">SLF-15</t>
  </si>
  <si>
    <t xml:space="preserve">AUG-01</t>
  </si>
  <si>
    <t xml:space="preserve">Was hilft bei trockenen Augen?</t>
  </si>
  <si>
    <t xml:space="preserve">AUG-02</t>
  </si>
  <si>
    <t xml:space="preserve">Warum brennen meine Augen nach einem Tag am Bildschirm?</t>
  </si>
  <si>
    <t xml:space="preserve">AUG-03</t>
  </si>
  <si>
    <t xml:space="preserve">Was ist besser bei trockenen Augen, Tropfen oder Gel?</t>
  </si>
  <si>
    <t xml:space="preserve">AUG-04</t>
  </si>
  <si>
    <t xml:space="preserve">Welche Augentropfen helfen bei trockenen Augen?</t>
  </si>
  <si>
    <t xml:space="preserve">AUG-05</t>
  </si>
  <si>
    <t xml:space="preserve">Was sind die besten Augentropfen ohne Konservierungsstoffe?</t>
  </si>
  <si>
    <t xml:space="preserve">AUG-06</t>
  </si>
  <si>
    <t xml:space="preserve">Welche Marke bei Augentropfen wird am häufigsten empfohlen?</t>
  </si>
  <si>
    <t xml:space="preserve">AUG-07</t>
  </si>
  <si>
    <t xml:space="preserve">Sind teure Augentropfen besser als günstige?</t>
  </si>
  <si>
    <t xml:space="preserve">AUG-08</t>
  </si>
  <si>
    <t xml:space="preserve">Bekomme ich Augentropfen auch außerhalb der Apotheke?</t>
  </si>
  <si>
    <t xml:space="preserve">AUG-09</t>
  </si>
  <si>
    <t xml:space="preserve">Wann sollte ich mit gereizten Augen zum Augenarzt?</t>
  </si>
  <si>
    <t xml:space="preserve">AUG-10</t>
  </si>
  <si>
    <t xml:space="preserve">Welche Augentropfen sind für Kontaktlinsenträger geeignet?</t>
  </si>
  <si>
    <t xml:space="preserve">AUG-11</t>
  </si>
  <si>
    <t xml:space="preserve">Wo kaufe ich Augentropfen am besten?</t>
  </si>
  <si>
    <t xml:space="preserve">AUG-12</t>
  </si>
  <si>
    <t xml:space="preserve">Welche Augentropfen soll ich kaufen?</t>
  </si>
  <si>
    <t xml:space="preserve">AUG-13</t>
  </si>
  <si>
    <t xml:space="preserve">AUG-14</t>
  </si>
  <si>
    <t xml:space="preserve">AUG-15</t>
  </si>
  <si>
    <t xml:space="preserve">Erhebungsbogen (Rohdaten-Log)</t>
  </si>
  <si>
    <t xml:space="preserve">Eine Zeile pro Prompt × KI-System. Dropdowns nutzen. Zeile 5 ist eine grau markierte Beispielzeile, mit der ersten echten Erhebung überschreiben.</t>
  </si>
  <si>
    <t xml:space="preserve">Test-ID</t>
  </si>
  <si>
    <t xml:space="preserve">Datum</t>
  </si>
  <si>
    <t xml:space="preserve">Uhrzeit</t>
  </si>
  <si>
    <t xml:space="preserve">KI-System</t>
  </si>
  <si>
    <t xml:space="preserve">Modell/Version</t>
  </si>
  <si>
    <t xml:space="preserve">Marke genannt</t>
  </si>
  <si>
    <t xml:space="preserve">Marke empfohlen</t>
  </si>
  <si>
    <t xml:space="preserve">Position</t>
  </si>
  <si>
    <t xml:space="preserve">First Mention</t>
  </si>
  <si>
    <t xml:space="preserve">Produkt genannt</t>
  </si>
  <si>
    <t xml:space="preserve">zitiert/verlinkt</t>
  </si>
  <si>
    <t xml:space="preserve">Genannte Anbieter</t>
  </si>
  <si>
    <t xml:space="preserve">Empfohlene Anbieter</t>
  </si>
  <si>
    <t xml:space="preserve">Genannte Produkte</t>
  </si>
  <si>
    <t xml:space="preserve">First-Mention-Anbieter</t>
  </si>
  <si>
    <t xml:space="preserve">Quellen/Links</t>
  </si>
  <si>
    <t xml:space="preserve">Med. Sicherheit</t>
  </si>
  <si>
    <t xml:space="preserve">Notiz</t>
  </si>
  <si>
    <t xml:space="preserve">T-0001</t>
  </si>
  <si>
    <t xml:space="preserve">2026-08-26</t>
  </si>
  <si>
    <t xml:space="preserve">10:15</t>
  </si>
  <si>
    <t xml:space="preserve">ChatGPT</t>
  </si>
  <si>
    <t xml:space="preserve">n/a</t>
  </si>
  <si>
    <t xml:space="preserve">Ja</t>
  </si>
  <si>
    <t xml:space="preserve">Nein</t>
  </si>
  <si>
    <t xml:space="preserve">[Entität 1]</t>
  </si>
  <si>
    <t xml:space="preserve">neutral</t>
  </si>
  <si>
    <t xml:space="preserve">Apotheke vor Ort, Versandapotheke A, [Markenname], Amazon</t>
  </si>
  <si>
    <t xml:space="preserve">Apotheke vor Ort</t>
  </si>
  <si>
    <t xml:space="preserve">-</t>
  </si>
  <si>
    <t xml:space="preserve">gesundheitsinformation.de</t>
  </si>
  <si>
    <t xml:space="preserve">schwach</t>
  </si>
  <si>
    <t xml:space="preserve">sicher</t>
  </si>
  <si>
    <t xml:space="preserve">BEISPIEL — mit erster echter Erhebung überschreiben</t>
  </si>
  <si>
    <t xml:space="preserve">KPI-Auswertung</t>
  </si>
  <si>
    <t xml:space="preserve">Rechnet automatisch aus dem Erhebungsbogen. Nenner wird offen ausgewiesen. Keine Zelle von Hand überschreiben.</t>
  </si>
  <si>
    <t xml:space="preserve">1 · Anzahl Tests (Nenner) — Kategorie × KI-System</t>
  </si>
  <si>
    <t xml:space="preserve">Claude</t>
  </si>
  <si>
    <t xml:space="preserve">Gemini</t>
  </si>
  <si>
    <t xml:space="preserve">Google AI Overview</t>
  </si>
  <si>
    <t xml:space="preserve">Perplexity</t>
  </si>
  <si>
    <t xml:space="preserve">2 · Sichtbarkeit des Messobjekts je Kategorie (alle Systeme kombiniert)</t>
  </si>
  <si>
    <t xml:space="preserve">Anzahl Tests</t>
  </si>
  <si>
    <t xml:space="preserve">Recommend. Rate</t>
  </si>
  <si>
    <t xml:space="preserve">First-Mention Rate</t>
  </si>
  <si>
    <t xml:space="preserve">Product-Mention Rate</t>
  </si>
  <si>
    <t xml:space="preserve">Ø Position</t>
  </si>
  <si>
    <t xml:space="preserve">2b · Tonalität der Nennungen</t>
  </si>
  <si>
    <t xml:space="preserve">positiv</t>
  </si>
  <si>
    <t xml:space="preserve">kritisch</t>
  </si>
  <si>
    <t xml:space="preserve">3 · Mention Rate — Kategorie × KI-System</t>
  </si>
  <si>
    <t xml:space="preserve">4 · Recommendation Rate — Kategorie × KI-System</t>
  </si>
  <si>
    <t xml:space="preserve">5 · First-Mention Rate — Kategorie × KI-System</t>
  </si>
  <si>
    <t xml:space="preserve">6 · Share of Voice — Messobjekt gegen Wettbewerber</t>
  </si>
  <si>
    <t xml:space="preserve">Näherung: zählt Antworten, deren Feld „Genannte Anbieter“ den Token enthält. Mehrfachnennung je Antwort zählt einmal. Namen und Token kommen aus dem Blatt „Konfiguration“.</t>
  </si>
  <si>
    <t xml:space="preserve">Anbieter</t>
  </si>
  <si>
    <t xml:space="preserve">Token</t>
  </si>
  <si>
    <t xml:space="preserve">Nennungen</t>
  </si>
  <si>
    <t xml:space="preserve">Empfehlungen</t>
  </si>
  <si>
    <t xml:space="preserve">Messobjekt</t>
  </si>
  <si>
    <t xml:space="preserve">Summe Nennungen</t>
  </si>
  <si>
    <t xml:space="preserve">Management-Dashboard</t>
  </si>
  <si>
    <t xml:space="preserve">Verdichtete Kernaussagen. Weiße Zellen rechnen automatisch, gelbe Zellen nach der Auswertung interpretativ ausfüllen.</t>
  </si>
  <si>
    <t xml:space="preserve">genannt?</t>
  </si>
  <si>
    <t xml:space="preserve">empfohlen?</t>
  </si>
  <si>
    <t xml:space="preserve">Welche Entität?</t>
  </si>
  <si>
    <t xml:space="preserve">Wer wird häufiger genannt?</t>
  </si>
  <si>
    <t xml:space="preserve">Wer wird häufiger empfohlen?</t>
  </si>
  <si>
    <t xml:space="preserve">Wichtigste Quellen</t>
  </si>
  <si>
    <t xml:space="preserve">Strategische Lücke</t>
  </si>
  <si>
    <t xml:space="preserve">Strategische Schlussfolgerung — nach der Messung zu beantworten</t>
  </si>
  <si>
    <t xml:space="preserve">F1</t>
  </si>
  <si>
    <t xml:space="preserve">Besitzt das Messobjekt erkennbare thematische Autorität, oder nur Erwähnungen?</t>
  </si>
  <si>
    <t xml:space="preserve">F2</t>
  </si>
  <si>
    <t xml:space="preserve">Ist es für die KI-Systeme Händler, Marke, Gesundheitsanbieter oder bloße Bezugsquelle?</t>
  </si>
  <si>
    <t xml:space="preserve">F3</t>
  </si>
  <si>
    <t xml:space="preserve">Welche Anbieter dominieren stattdessen, und woher beziehen sie ihre Autorität?</t>
  </si>
  <si>
    <t xml:space="preserve">F4</t>
  </si>
  <si>
    <t xml:space="preserve">In welchen Kategorien ist KI-Sichtbarkeit realistisch zu gewinnen, in welchen nicht?</t>
  </si>
  <si>
    <t xml:space="preserve">F5</t>
  </si>
  <si>
    <t xml:space="preserve">Welcher Abstand besteht zwischen ungestützter und gestützter Sichtbarkeit?</t>
  </si>
  <si>
    <t xml:space="preserve">F6</t>
  </si>
  <si>
    <t xml:space="preserve">Welche Content-, Quellen-, Experten- und Kooperationsstrategie folgt daraus?</t>
  </si>
  <si>
    <t xml:space="preserve">F7</t>
  </si>
  <si>
    <t xml:space="preserve">Welche Maßnahmen in 0–6, 6–12 und 12–24 Monaten, mit welcher Priorität?</t>
  </si>
  <si>
    <t xml:space="preserve">F8</t>
  </si>
  <si>
    <t xml:space="preserve">Ist die Trennung sauber geblieben: Beobachtung, mögliche Ursache, Empfehlung?</t>
  </si>
</sst>
</file>

<file path=xl/styles.xml><?xml version="1.0" encoding="utf-8"?>
<styleSheet xmlns="http://schemas.openxmlformats.org/spreadsheetml/2006/main">
  <numFmts count="3">
    <numFmt numFmtId="164" formatCode="General"/>
    <numFmt numFmtId="165" formatCode="0.0%"/>
    <numFmt numFmtId="166" formatCode="0.0"/>
  </numFmts>
  <fonts count="10">
    <font>
      <sz val="11"/>
      <color theme="1"/>
      <name val="Calibri"/>
      <family val="2"/>
      <charset val="1"/>
    </font>
    <font>
      <sz val="10"/>
      <name val="Arial"/>
      <family val="0"/>
    </font>
    <font>
      <sz val="10"/>
      <name val="Arial"/>
      <family val="0"/>
    </font>
    <font>
      <sz val="10"/>
      <name val="Arial"/>
      <family val="0"/>
    </font>
    <font>
      <b val="true"/>
      <sz val="14"/>
      <color rgb="FFFFFFFF"/>
      <name val="Arial"/>
      <family val="0"/>
      <charset val="1"/>
    </font>
    <font>
      <sz val="9"/>
      <color rgb="FF555555"/>
      <name val="Arial"/>
      <family val="0"/>
      <charset val="1"/>
    </font>
    <font>
      <b val="true"/>
      <sz val="10"/>
      <name val="Arial"/>
      <family val="0"/>
      <charset val="1"/>
    </font>
    <font>
      <sz val="10"/>
      <name val="Arial"/>
      <family val="0"/>
      <charset val="1"/>
    </font>
    <font>
      <b val="true"/>
      <sz val="11"/>
      <color rgb="FFFFFFFF"/>
      <name val="Arial"/>
      <family val="0"/>
      <charset val="1"/>
    </font>
    <font>
      <sz val="10"/>
      <color rgb="FF0000FF"/>
      <name val="Arial"/>
      <family val="0"/>
      <charset val="1"/>
    </font>
  </fonts>
  <fills count="6">
    <fill>
      <patternFill patternType="none"/>
    </fill>
    <fill>
      <patternFill patternType="gray125"/>
    </fill>
    <fill>
      <patternFill patternType="solid">
        <fgColor rgb="FF1F3B57"/>
        <bgColor rgb="FF003366"/>
      </patternFill>
    </fill>
    <fill>
      <patternFill patternType="solid">
        <fgColor rgb="FFE8EEF4"/>
        <bgColor rgb="FFF2F2F2"/>
      </patternFill>
    </fill>
    <fill>
      <patternFill patternType="solid">
        <fgColor rgb="FFFFF2CC"/>
        <bgColor rgb="FFF2F2F2"/>
      </patternFill>
    </fill>
    <fill>
      <patternFill patternType="solid">
        <fgColor rgb="FFF2F2F2"/>
        <bgColor rgb="FFE8EEF4"/>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top" textRotation="0" wrapText="tru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6" fillId="3" borderId="0" xfId="0" applyFont="true" applyBorder="false" applyAlignment="false" applyProtection="false">
      <alignment horizontal="general" vertical="bottom" textRotation="0" wrapText="false" indent="0" shrinkToFit="false"/>
      <protection locked="true" hidden="false"/>
    </xf>
    <xf numFmtId="164" fontId="7" fillId="3" borderId="0" xfId="0" applyFont="true" applyBorder="false" applyAlignment="true" applyProtection="false">
      <alignment horizontal="general" vertical="top" textRotation="0" wrapText="true" indent="0" shrinkToFit="false"/>
      <protection locked="true" hidden="false"/>
    </xf>
    <xf numFmtId="164" fontId="8" fillId="2" borderId="0"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3" borderId="1" xfId="0" applyFont="true" applyBorder="true" applyAlignment="true" applyProtection="false">
      <alignment horizontal="center" vertical="center" textRotation="0" wrapText="true" indent="0" shrinkToFit="false"/>
      <protection locked="true" hidden="false"/>
    </xf>
    <xf numFmtId="164" fontId="9" fillId="5" borderId="1" xfId="0" applyFont="true" applyBorder="true" applyAlignment="true" applyProtection="false">
      <alignment horizontal="general" vertical="top" textRotation="0" wrapText="true" indent="0" shrinkToFit="false"/>
      <protection locked="true" hidden="false"/>
    </xf>
    <xf numFmtId="164" fontId="7" fillId="4" borderId="1" xfId="0" applyFont="true" applyBorder="true" applyAlignment="true" applyProtection="false">
      <alignment horizontal="general" vertical="top" textRotation="0" wrapText="tru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64" fontId="6" fillId="0" borderId="1" xfId="0" applyFont="true" applyBorder="tru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general" vertical="top" textRotation="0" wrapText="true" indent="0" shrinkToFit="false"/>
      <protection locked="true" hidden="false"/>
    </xf>
    <xf numFmtId="164" fontId="6" fillId="0" borderId="0" xfId="0" applyFont="true" applyBorder="true" applyAlignment="false" applyProtection="false">
      <alignment horizontal="general" vertical="bottom" textRotation="0" wrapText="false" indent="0" shrinkToFit="false"/>
      <protection locked="true" hidden="false"/>
    </xf>
    <xf numFmtId="164" fontId="6"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7" fillId="0" borderId="0" xfId="0" applyFont="true" applyBorder="true" applyAlignment="true" applyProtection="false">
      <alignment horizontal="general" vertical="top" textRotation="0" wrapText="true" indent="0" shrinkToFit="false"/>
      <protection locked="true" hidden="false"/>
    </xf>
    <xf numFmtId="164" fontId="7" fillId="5" borderId="1" xfId="0" applyFont="true" applyBorder="true" applyAlignment="true" applyProtection="false">
      <alignment horizontal="general" vertical="top" textRotation="0" wrapText="true" indent="0" shrinkToFit="false"/>
      <protection locked="true" hidden="false"/>
    </xf>
    <xf numFmtId="164" fontId="7" fillId="5" borderId="1" xfId="0" applyFont="true" applyBorder="true" applyAlignment="false" applyProtection="false">
      <alignment horizontal="general" vertical="bottom"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5" fontId="7" fillId="0" borderId="1" xfId="0" applyFont="true" applyBorder="true" applyAlignment="false" applyProtection="false">
      <alignment horizontal="general" vertical="bottom" textRotation="0" wrapText="false" indent="0" shrinkToFit="false"/>
      <protection locked="true" hidden="false"/>
    </xf>
    <xf numFmtId="166" fontId="7" fillId="0" borderId="1" xfId="0" applyFont="true" applyBorder="true" applyAlignment="false" applyProtection="false">
      <alignment horizontal="general" vertical="bottom" textRotation="0" wrapText="false" indent="0" shrinkToFit="false"/>
      <protection locked="true" hidden="false"/>
    </xf>
    <xf numFmtId="165" fontId="6" fillId="0" borderId="1" xfId="0" applyFont="true" applyBorder="true" applyAlignment="false" applyProtection="false">
      <alignment horizontal="general" vertical="bottom" textRotation="0" wrapText="false" indent="0" shrinkToFit="false"/>
      <protection locked="true" hidden="false"/>
    </xf>
    <xf numFmtId="166" fontId="6"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general" vertical="top" textRotation="0" wrapText="true" indent="0" shrinkToFit="false"/>
      <protection locked="true" hidden="false"/>
    </xf>
    <xf numFmtId="164" fontId="0" fillId="4" borderId="0" xfId="0" applyFont="fals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E8EEF4"/>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F2F2F2"/>
      <rgbColor rgb="FFCCFFCC"/>
      <rgbColor rgb="FFFFFF99"/>
      <rgbColor rgb="FF99CCFF"/>
      <rgbColor rgb="FFFF99CC"/>
      <rgbColor rgb="FFCC99FF"/>
      <rgbColor rgb="FFFFCC99"/>
      <rgbColor rgb="FF3366FF"/>
      <rgbColor rgb="FF33CCCC"/>
      <rgbColor rgb="FF99CC00"/>
      <rgbColor rgb="FFFFCC00"/>
      <rgbColor rgb="FFFF9900"/>
      <rgbColor rgb="FFFF6600"/>
      <rgbColor rgb="FF555555"/>
      <rgbColor rgb="FF969696"/>
      <rgbColor rgb="FF003366"/>
      <rgbColor rgb="FF339966"/>
      <rgbColor rgb="FF003300"/>
      <rgbColor rgb="FF333300"/>
      <rgbColor rgb="FF993300"/>
      <rgbColor rgb="FF993366"/>
      <rgbColor rgb="FF333399"/>
      <rgbColor rgb="FF1F3B5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2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108"/>
  </cols>
  <sheetData>
    <row r="1" customFormat="false" ht="24" hidden="false" customHeight="true" outlineLevel="0" collapsed="false">
      <c r="A1" s="1" t="s">
        <v>0</v>
      </c>
      <c r="B1" s="1"/>
    </row>
    <row r="2" customFormat="false" ht="25.5" hidden="false" customHeight="true" outlineLevel="0" collapsed="false">
      <c r="A2" s="2" t="s">
        <v>1</v>
      </c>
      <c r="B2" s="2"/>
    </row>
    <row r="4" customFormat="false" ht="15.75" hidden="false" customHeight="true" outlineLevel="0" collapsed="false">
      <c r="A4" s="3" t="s">
        <v>2</v>
      </c>
      <c r="B4" s="4" t="s">
        <v>3</v>
      </c>
    </row>
    <row r="5" customFormat="false" ht="15.75" hidden="false" customHeight="true" outlineLevel="0" collapsed="false">
      <c r="A5" s="3" t="s">
        <v>4</v>
      </c>
      <c r="B5" s="4" t="s">
        <v>5</v>
      </c>
    </row>
    <row r="6" customFormat="false" ht="30" hidden="false" customHeight="true" outlineLevel="0" collapsed="false">
      <c r="A6" s="3" t="s">
        <v>6</v>
      </c>
      <c r="B6" s="4" t="s">
        <v>7</v>
      </c>
    </row>
    <row r="7" customFormat="false" ht="30" hidden="false" customHeight="true" outlineLevel="0" collapsed="false">
      <c r="A7" s="3" t="s">
        <v>8</v>
      </c>
      <c r="B7" s="4" t="s">
        <v>9</v>
      </c>
    </row>
    <row r="8" customFormat="false" ht="30" hidden="false" customHeight="true" outlineLevel="0" collapsed="false">
      <c r="A8" s="3" t="s">
        <v>10</v>
      </c>
      <c r="B8" s="4" t="s">
        <v>11</v>
      </c>
    </row>
    <row r="9" customFormat="false" ht="15.75" hidden="false" customHeight="true" outlineLevel="0" collapsed="false">
      <c r="A9" s="5"/>
      <c r="B9" s="4"/>
    </row>
    <row r="10" customFormat="false" ht="15.75" hidden="false" customHeight="true" outlineLevel="0" collapsed="false">
      <c r="A10" s="6" t="s">
        <v>12</v>
      </c>
      <c r="B10" s="7"/>
    </row>
    <row r="11" customFormat="false" ht="30" hidden="false" customHeight="true" outlineLevel="0" collapsed="false">
      <c r="A11" s="3" t="s">
        <v>13</v>
      </c>
      <c r="B11" s="4" t="s">
        <v>14</v>
      </c>
    </row>
    <row r="12" customFormat="false" ht="30" hidden="false" customHeight="true" outlineLevel="0" collapsed="false">
      <c r="A12" s="3" t="s">
        <v>15</v>
      </c>
      <c r="B12" s="4" t="s">
        <v>16</v>
      </c>
    </row>
    <row r="13" customFormat="false" ht="30" hidden="false" customHeight="true" outlineLevel="0" collapsed="false">
      <c r="A13" s="3" t="s">
        <v>17</v>
      </c>
      <c r="B13" s="4" t="s">
        <v>18</v>
      </c>
    </row>
    <row r="14" customFormat="false" ht="30" hidden="false" customHeight="true" outlineLevel="0" collapsed="false">
      <c r="A14" s="3" t="s">
        <v>19</v>
      </c>
      <c r="B14" s="4" t="s">
        <v>20</v>
      </c>
    </row>
    <row r="15" customFormat="false" ht="30" hidden="false" customHeight="true" outlineLevel="0" collapsed="false">
      <c r="A15" s="3" t="s">
        <v>21</v>
      </c>
      <c r="B15" s="4" t="s">
        <v>22</v>
      </c>
    </row>
    <row r="16" customFormat="false" ht="30" hidden="false" customHeight="true" outlineLevel="0" collapsed="false">
      <c r="A16" s="3" t="s">
        <v>23</v>
      </c>
      <c r="B16" s="4" t="s">
        <v>24</v>
      </c>
    </row>
    <row r="17" customFormat="false" ht="15.75" hidden="false" customHeight="true" outlineLevel="0" collapsed="false">
      <c r="A17" s="5"/>
      <c r="B17" s="4"/>
    </row>
    <row r="18" customFormat="false" ht="30" hidden="false" customHeight="true" outlineLevel="0" collapsed="false">
      <c r="A18" s="3" t="s">
        <v>25</v>
      </c>
      <c r="B18" s="4" t="s">
        <v>26</v>
      </c>
    </row>
    <row r="19" customFormat="false" ht="30" hidden="false" customHeight="true" outlineLevel="0" collapsed="false">
      <c r="A19" s="3" t="s">
        <v>27</v>
      </c>
      <c r="B19" s="4" t="s">
        <v>28</v>
      </c>
    </row>
    <row r="20" customFormat="false" ht="30" hidden="false" customHeight="true" outlineLevel="0" collapsed="false">
      <c r="A20" s="3" t="s">
        <v>29</v>
      </c>
      <c r="B20" s="4" t="s">
        <v>30</v>
      </c>
    </row>
    <row r="21" customFormat="false" ht="30" hidden="false" customHeight="true" outlineLevel="0" collapsed="false">
      <c r="A21" s="3" t="s">
        <v>31</v>
      </c>
      <c r="B21" s="4" t="s">
        <v>32</v>
      </c>
    </row>
    <row r="22" customFormat="false" ht="15.75" hidden="false" customHeight="true" outlineLevel="0" collapsed="false">
      <c r="A22" s="5"/>
      <c r="B22" s="4"/>
    </row>
    <row r="23" customFormat="false" ht="30" hidden="false" customHeight="true" outlineLevel="0" collapsed="false">
      <c r="A23" s="3" t="s">
        <v>33</v>
      </c>
      <c r="B23" s="4" t="s">
        <v>34</v>
      </c>
    </row>
  </sheetData>
  <mergeCells count="2">
    <mergeCell ref="A1:B1"/>
    <mergeCell ref="A2:B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3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40"/>
    <col collapsed="false" customWidth="true" hidden="false" outlineLevel="0" max="3" min="3" style="0" width="26"/>
    <col collapsed="false" customWidth="true" hidden="false" outlineLevel="0" max="4" min="4" style="0" width="54"/>
  </cols>
  <sheetData>
    <row r="1" customFormat="false" ht="24" hidden="false" customHeight="true" outlineLevel="0" collapsed="false">
      <c r="A1" s="1" t="s">
        <v>35</v>
      </c>
      <c r="B1" s="1"/>
      <c r="C1" s="1"/>
      <c r="D1" s="1"/>
    </row>
    <row r="2" customFormat="false" ht="25.5" hidden="false" customHeight="true" outlineLevel="0" collapsed="false">
      <c r="A2" s="2" t="s">
        <v>36</v>
      </c>
      <c r="B2" s="2"/>
      <c r="C2" s="2"/>
      <c r="D2" s="2"/>
    </row>
    <row r="4" customFormat="false" ht="15" hidden="false" customHeight="false" outlineLevel="0" collapsed="false">
      <c r="A4" s="8" t="s">
        <v>37</v>
      </c>
      <c r="B4" s="8"/>
      <c r="C4" s="8"/>
      <c r="D4" s="8"/>
    </row>
    <row r="5" customFormat="false" ht="15" hidden="false" customHeight="false" outlineLevel="0" collapsed="false">
      <c r="A5" s="3" t="s">
        <v>38</v>
      </c>
      <c r="B5" s="9" t="s">
        <v>39</v>
      </c>
      <c r="D5" s="10" t="s">
        <v>40</v>
      </c>
    </row>
    <row r="6" customFormat="false" ht="15" hidden="false" customHeight="false" outlineLevel="0" collapsed="false">
      <c r="A6" s="3" t="s">
        <v>41</v>
      </c>
      <c r="B6" s="9" t="s">
        <v>42</v>
      </c>
      <c r="D6" s="10" t="s">
        <v>43</v>
      </c>
    </row>
    <row r="7" customFormat="false" ht="15" hidden="false" customHeight="false" outlineLevel="0" collapsed="false">
      <c r="A7" s="3" t="s">
        <v>44</v>
      </c>
      <c r="B7" s="9" t="s">
        <v>45</v>
      </c>
      <c r="D7" s="10" t="s">
        <v>46</v>
      </c>
    </row>
    <row r="8" customFormat="false" ht="15" hidden="false" customHeight="false" outlineLevel="0" collapsed="false">
      <c r="A8" s="3" t="s">
        <v>47</v>
      </c>
      <c r="B8" s="9" t="s">
        <v>48</v>
      </c>
      <c r="D8" s="10" t="s">
        <v>46</v>
      </c>
    </row>
    <row r="9" customFormat="false" ht="15" hidden="false" customHeight="false" outlineLevel="0" collapsed="false">
      <c r="A9" s="3" t="s">
        <v>49</v>
      </c>
      <c r="B9" s="9" t="s">
        <v>50</v>
      </c>
      <c r="D9" s="10" t="s">
        <v>51</v>
      </c>
    </row>
    <row r="10" customFormat="false" ht="15" hidden="false" customHeight="false" outlineLevel="0" collapsed="false">
      <c r="A10" s="3" t="s">
        <v>52</v>
      </c>
      <c r="B10" s="9" t="s">
        <v>53</v>
      </c>
      <c r="D10" s="10" t="s">
        <v>54</v>
      </c>
    </row>
    <row r="11" customFormat="false" ht="15" hidden="false" customHeight="false" outlineLevel="0" collapsed="false">
      <c r="A11" s="3" t="s">
        <v>55</v>
      </c>
      <c r="B11" s="9" t="s">
        <v>56</v>
      </c>
      <c r="D11" s="10" t="s">
        <v>57</v>
      </c>
    </row>
    <row r="12" customFormat="false" ht="15" hidden="false" customHeight="false" outlineLevel="0" collapsed="false">
      <c r="A12" s="3" t="s">
        <v>58</v>
      </c>
      <c r="B12" s="9" t="s">
        <v>59</v>
      </c>
      <c r="D12" s="10" t="s">
        <v>60</v>
      </c>
    </row>
    <row r="14" customFormat="false" ht="15" hidden="false" customHeight="false" outlineLevel="0" collapsed="false">
      <c r="A14" s="8" t="s">
        <v>61</v>
      </c>
      <c r="B14" s="8"/>
      <c r="C14" s="8"/>
      <c r="D14" s="8"/>
    </row>
    <row r="15" customFormat="false" ht="15" hidden="false" customHeight="false" outlineLevel="0" collapsed="false">
      <c r="A15" s="11" t="s">
        <v>62</v>
      </c>
      <c r="B15" s="11"/>
      <c r="C15" s="11"/>
      <c r="D15" s="11"/>
    </row>
    <row r="16" customFormat="false" ht="30" hidden="false" customHeight="true" outlineLevel="0" collapsed="false">
      <c r="A16" s="12" t="s">
        <v>63</v>
      </c>
      <c r="B16" s="12" t="s">
        <v>64</v>
      </c>
      <c r="C16" s="12" t="s">
        <v>65</v>
      </c>
      <c r="D16" s="12" t="s">
        <v>66</v>
      </c>
    </row>
    <row r="17" customFormat="false" ht="15" hidden="false" customHeight="false" outlineLevel="0" collapsed="false">
      <c r="A17" s="13" t="s">
        <v>67</v>
      </c>
      <c r="B17" s="13" t="s">
        <v>68</v>
      </c>
      <c r="C17" s="13" t="s">
        <v>67</v>
      </c>
      <c r="D17" s="13" t="s">
        <v>69</v>
      </c>
    </row>
    <row r="18" customFormat="false" ht="15" hidden="false" customHeight="false" outlineLevel="0" collapsed="false">
      <c r="A18" s="14"/>
      <c r="B18" s="14"/>
      <c r="C18" s="14"/>
      <c r="D18" s="14"/>
    </row>
    <row r="19" customFormat="false" ht="15" hidden="false" customHeight="false" outlineLevel="0" collapsed="false">
      <c r="A19" s="14"/>
      <c r="B19" s="14"/>
      <c r="C19" s="14"/>
      <c r="D19" s="14"/>
    </row>
    <row r="20" customFormat="false" ht="15" hidden="false" customHeight="false" outlineLevel="0" collapsed="false">
      <c r="A20" s="14"/>
      <c r="B20" s="14"/>
      <c r="C20" s="14"/>
      <c r="D20" s="14"/>
    </row>
    <row r="21" customFormat="false" ht="15" hidden="false" customHeight="false" outlineLevel="0" collapsed="false">
      <c r="A21" s="14"/>
      <c r="B21" s="14"/>
      <c r="C21" s="14"/>
      <c r="D21" s="14"/>
    </row>
    <row r="22" customFormat="false" ht="15" hidden="false" customHeight="false" outlineLevel="0" collapsed="false">
      <c r="A22" s="14"/>
      <c r="B22" s="14"/>
      <c r="C22" s="14"/>
      <c r="D22" s="14"/>
    </row>
    <row r="23" customFormat="false" ht="15" hidden="false" customHeight="false" outlineLevel="0" collapsed="false">
      <c r="A23" s="14"/>
      <c r="B23" s="14"/>
      <c r="C23" s="14"/>
      <c r="D23" s="14"/>
    </row>
    <row r="24" customFormat="false" ht="15" hidden="false" customHeight="false" outlineLevel="0" collapsed="false">
      <c r="A24" s="14"/>
      <c r="B24" s="14"/>
      <c r="C24" s="14"/>
      <c r="D24" s="14"/>
    </row>
    <row r="25" customFormat="false" ht="15" hidden="false" customHeight="false" outlineLevel="0" collapsed="false">
      <c r="A25" s="14"/>
      <c r="B25" s="14"/>
      <c r="C25" s="14"/>
      <c r="D25" s="14"/>
    </row>
    <row r="26" customFormat="false" ht="15" hidden="false" customHeight="false" outlineLevel="0" collapsed="false">
      <c r="A26" s="14"/>
      <c r="B26" s="14"/>
      <c r="C26" s="14"/>
      <c r="D26" s="14"/>
    </row>
    <row r="27" customFormat="false" ht="15" hidden="false" customHeight="false" outlineLevel="0" collapsed="false">
      <c r="A27" s="14"/>
      <c r="B27" s="14"/>
      <c r="C27" s="14"/>
      <c r="D27" s="14"/>
    </row>
    <row r="28" customFormat="false" ht="15" hidden="false" customHeight="false" outlineLevel="0" collapsed="false">
      <c r="A28" s="14"/>
      <c r="B28" s="14"/>
      <c r="C28" s="14"/>
      <c r="D28" s="14"/>
    </row>
    <row r="30" customFormat="false" ht="15" hidden="false" customHeight="true" outlineLevel="0" collapsed="false">
      <c r="A30" s="3" t="s">
        <v>70</v>
      </c>
      <c r="B30" s="2" t="s">
        <v>71</v>
      </c>
      <c r="C30" s="2"/>
      <c r="D30" s="2"/>
    </row>
  </sheetData>
  <mergeCells count="6">
    <mergeCell ref="A1:D1"/>
    <mergeCell ref="A2:D2"/>
    <mergeCell ref="A4:D4"/>
    <mergeCell ref="A14:D14"/>
    <mergeCell ref="A15:D15"/>
    <mergeCell ref="B30:D3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2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6"/>
    <col collapsed="false" customWidth="true" hidden="false" outlineLevel="0" max="3" min="3" style="0" width="14"/>
    <col collapsed="false" customWidth="true" hidden="false" outlineLevel="0" max="4" min="4" style="0" width="92"/>
  </cols>
  <sheetData>
    <row r="1" customFormat="false" ht="24" hidden="false" customHeight="true" outlineLevel="0" collapsed="false">
      <c r="A1" s="1" t="s">
        <v>72</v>
      </c>
      <c r="B1" s="1"/>
      <c r="C1" s="1"/>
      <c r="D1" s="1"/>
    </row>
    <row r="2" customFormat="false" ht="25.5" hidden="false" customHeight="true" outlineLevel="0" collapsed="false">
      <c r="A2" s="2" t="s">
        <v>73</v>
      </c>
      <c r="B2" s="2"/>
      <c r="C2" s="2"/>
      <c r="D2" s="2"/>
    </row>
    <row r="4" customFormat="false" ht="30" hidden="false" customHeight="true" outlineLevel="0" collapsed="false">
      <c r="A4" s="12" t="s">
        <v>74</v>
      </c>
      <c r="B4" s="12" t="s">
        <v>75</v>
      </c>
      <c r="C4" s="12" t="s">
        <v>76</v>
      </c>
      <c r="D4" s="12" t="s">
        <v>77</v>
      </c>
    </row>
    <row r="5" customFormat="false" ht="30" hidden="false" customHeight="true" outlineLevel="0" collapsed="false">
      <c r="A5" s="15" t="s">
        <v>78</v>
      </c>
      <c r="B5" s="16" t="s">
        <v>79</v>
      </c>
      <c r="C5" s="15" t="n">
        <v>15</v>
      </c>
      <c r="D5" s="17" t="s">
        <v>80</v>
      </c>
    </row>
    <row r="6" customFormat="false" ht="30" hidden="false" customHeight="true" outlineLevel="0" collapsed="false">
      <c r="A6" s="15" t="s">
        <v>81</v>
      </c>
      <c r="B6" s="16" t="s">
        <v>82</v>
      </c>
      <c r="C6" s="15" t="n">
        <v>15</v>
      </c>
      <c r="D6" s="17" t="s">
        <v>83</v>
      </c>
    </row>
    <row r="7" customFormat="false" ht="30" hidden="false" customHeight="true" outlineLevel="0" collapsed="false">
      <c r="A7" s="15" t="s">
        <v>84</v>
      </c>
      <c r="B7" s="16" t="s">
        <v>85</v>
      </c>
      <c r="C7" s="15" t="n">
        <v>15</v>
      </c>
      <c r="D7" s="17" t="s">
        <v>86</v>
      </c>
    </row>
    <row r="8" customFormat="false" ht="30" hidden="false" customHeight="true" outlineLevel="0" collapsed="false">
      <c r="A8" s="15" t="s">
        <v>87</v>
      </c>
      <c r="B8" s="16" t="s">
        <v>88</v>
      </c>
      <c r="C8" s="15" t="n">
        <v>15</v>
      </c>
      <c r="D8" s="17" t="s">
        <v>89</v>
      </c>
    </row>
    <row r="9" customFormat="false" ht="30" hidden="false" customHeight="true" outlineLevel="0" collapsed="false">
      <c r="A9" s="15" t="s">
        <v>90</v>
      </c>
      <c r="B9" s="16" t="s">
        <v>91</v>
      </c>
      <c r="C9" s="15" t="n">
        <v>15</v>
      </c>
      <c r="D9" s="17" t="s">
        <v>92</v>
      </c>
    </row>
    <row r="10" customFormat="false" ht="30" hidden="false" customHeight="true" outlineLevel="0" collapsed="false">
      <c r="A10" s="15" t="s">
        <v>93</v>
      </c>
      <c r="B10" s="16" t="s">
        <v>94</v>
      </c>
      <c r="C10" s="15" t="n">
        <v>15</v>
      </c>
      <c r="D10" s="17" t="s">
        <v>95</v>
      </c>
    </row>
    <row r="11" customFormat="false" ht="30" hidden="false" customHeight="true" outlineLevel="0" collapsed="false">
      <c r="A11" s="15" t="s">
        <v>96</v>
      </c>
      <c r="B11" s="16" t="s">
        <v>97</v>
      </c>
      <c r="C11" s="15" t="n">
        <v>15</v>
      </c>
      <c r="D11" s="17" t="s">
        <v>98</v>
      </c>
    </row>
    <row r="12" customFormat="false" ht="30" hidden="false" customHeight="true" outlineLevel="0" collapsed="false">
      <c r="A12" s="15" t="s">
        <v>99</v>
      </c>
      <c r="B12" s="16" t="s">
        <v>100</v>
      </c>
      <c r="C12" s="15" t="n">
        <v>15</v>
      </c>
      <c r="D12" s="17" t="s">
        <v>101</v>
      </c>
    </row>
    <row r="13" customFormat="false" ht="30" hidden="false" customHeight="true" outlineLevel="0" collapsed="false">
      <c r="A13" s="15" t="s">
        <v>102</v>
      </c>
      <c r="B13" s="16" t="s">
        <v>103</v>
      </c>
      <c r="C13" s="15" t="n">
        <v>15</v>
      </c>
      <c r="D13" s="17" t="s">
        <v>104</v>
      </c>
    </row>
    <row r="14" customFormat="false" ht="30" hidden="false" customHeight="true" outlineLevel="0" collapsed="false">
      <c r="A14" s="15" t="s">
        <v>105</v>
      </c>
      <c r="B14" s="16" t="s">
        <v>106</v>
      </c>
      <c r="C14" s="15" t="n">
        <v>15</v>
      </c>
      <c r="D14" s="17" t="s">
        <v>107</v>
      </c>
    </row>
    <row r="15" customFormat="false" ht="15" hidden="false" customHeight="false" outlineLevel="0" collapsed="false">
      <c r="B15" s="3" t="s">
        <v>108</v>
      </c>
      <c r="C15" s="3" t="n">
        <f aca="false">SUM(C5:C14)</f>
        <v>150</v>
      </c>
    </row>
    <row r="17" customFormat="false" ht="15" hidden="false" customHeight="false" outlineLevel="0" collapsed="false">
      <c r="A17" s="8" t="s">
        <v>109</v>
      </c>
      <c r="B17" s="8"/>
      <c r="C17" s="8"/>
      <c r="D17" s="8"/>
    </row>
    <row r="18" customFormat="false" ht="43.5" hidden="false" customHeight="true" outlineLevel="0" collapsed="false">
      <c r="A18" s="18" t="s">
        <v>110</v>
      </c>
      <c r="B18" s="18"/>
      <c r="D18" s="4" t="s">
        <v>111</v>
      </c>
    </row>
    <row r="19" customFormat="false" ht="43.5" hidden="false" customHeight="true" outlineLevel="0" collapsed="false">
      <c r="A19" s="18" t="s">
        <v>112</v>
      </c>
      <c r="B19" s="18"/>
      <c r="D19" s="4" t="s">
        <v>113</v>
      </c>
    </row>
    <row r="20" customFormat="false" ht="43.5" hidden="false" customHeight="true" outlineLevel="0" collapsed="false">
      <c r="A20" s="18" t="s">
        <v>114</v>
      </c>
      <c r="B20" s="18"/>
      <c r="D20" s="4" t="s">
        <v>115</v>
      </c>
    </row>
    <row r="21" customFormat="false" ht="43.5" hidden="false" customHeight="true" outlineLevel="0" collapsed="false">
      <c r="A21" s="18" t="s">
        <v>116</v>
      </c>
      <c r="B21" s="18"/>
      <c r="D21" s="4" t="s">
        <v>117</v>
      </c>
    </row>
    <row r="22" customFormat="false" ht="43.5" hidden="false" customHeight="true" outlineLevel="0" collapsed="false">
      <c r="A22" s="18" t="s">
        <v>118</v>
      </c>
      <c r="B22" s="18"/>
      <c r="D22" s="4" t="s">
        <v>119</v>
      </c>
    </row>
  </sheetData>
  <mergeCells count="8">
    <mergeCell ref="A1:D1"/>
    <mergeCell ref="A2:D2"/>
    <mergeCell ref="A17:D17"/>
    <mergeCell ref="A18:B18"/>
    <mergeCell ref="A19:B19"/>
    <mergeCell ref="A20:B20"/>
    <mergeCell ref="A21:B21"/>
    <mergeCell ref="A22:B2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3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2" min="2" style="0" width="50"/>
    <col collapsed="false" customWidth="true" hidden="false" outlineLevel="0" max="4" min="3" style="0" width="34"/>
  </cols>
  <sheetData>
    <row r="1" customFormat="false" ht="24" hidden="false" customHeight="true" outlineLevel="0" collapsed="false">
      <c r="A1" s="1" t="s">
        <v>120</v>
      </c>
      <c r="B1" s="1"/>
      <c r="C1" s="1"/>
      <c r="D1" s="1"/>
    </row>
    <row r="2" customFormat="false" ht="25.5" hidden="false" customHeight="true" outlineLevel="0" collapsed="false">
      <c r="A2" s="2" t="s">
        <v>121</v>
      </c>
      <c r="B2" s="2"/>
      <c r="C2" s="2"/>
      <c r="D2" s="2"/>
    </row>
    <row r="4" customFormat="false" ht="15" hidden="false" customHeight="false" outlineLevel="0" collapsed="false">
      <c r="A4" s="8" t="s">
        <v>122</v>
      </c>
      <c r="B4" s="8"/>
      <c r="C4" s="8"/>
      <c r="D4" s="8"/>
    </row>
    <row r="5" customFormat="false" ht="30" hidden="false" customHeight="true" outlineLevel="0" collapsed="false">
      <c r="A5" s="12" t="s">
        <v>123</v>
      </c>
      <c r="B5" s="12" t="s">
        <v>124</v>
      </c>
      <c r="C5" s="12" t="s">
        <v>125</v>
      </c>
      <c r="D5" s="12" t="s">
        <v>126</v>
      </c>
    </row>
    <row r="6" customFormat="false" ht="25.5" hidden="false" customHeight="true" outlineLevel="0" collapsed="false">
      <c r="A6" s="19" t="s">
        <v>127</v>
      </c>
      <c r="B6" s="17" t="s">
        <v>128</v>
      </c>
      <c r="C6" s="17" t="s">
        <v>129</v>
      </c>
      <c r="D6" s="17" t="s">
        <v>130</v>
      </c>
    </row>
    <row r="7" customFormat="false" ht="25.5" hidden="false" customHeight="true" outlineLevel="0" collapsed="false">
      <c r="A7" s="19" t="s">
        <v>131</v>
      </c>
      <c r="B7" s="17" t="s">
        <v>132</v>
      </c>
      <c r="C7" s="17" t="s">
        <v>133</v>
      </c>
      <c r="D7" s="17" t="s">
        <v>130</v>
      </c>
    </row>
    <row r="8" customFormat="false" ht="25.5" hidden="false" customHeight="true" outlineLevel="0" collapsed="false">
      <c r="A8" s="19" t="s">
        <v>134</v>
      </c>
      <c r="B8" s="17" t="s">
        <v>135</v>
      </c>
      <c r="C8" s="17" t="s">
        <v>136</v>
      </c>
      <c r="D8" s="17" t="s">
        <v>130</v>
      </c>
    </row>
    <row r="9" customFormat="false" ht="25.5" hidden="false" customHeight="true" outlineLevel="0" collapsed="false">
      <c r="A9" s="19" t="s">
        <v>137</v>
      </c>
      <c r="B9" s="17" t="s">
        <v>138</v>
      </c>
      <c r="C9" s="17" t="s">
        <v>139</v>
      </c>
      <c r="D9" s="17" t="s">
        <v>130</v>
      </c>
    </row>
    <row r="10" customFormat="false" ht="25.5" hidden="false" customHeight="true" outlineLevel="0" collapsed="false">
      <c r="A10" s="19" t="s">
        <v>140</v>
      </c>
      <c r="B10" s="17" t="s">
        <v>141</v>
      </c>
      <c r="C10" s="17" t="s">
        <v>142</v>
      </c>
      <c r="D10" s="17" t="s">
        <v>130</v>
      </c>
    </row>
    <row r="11" customFormat="false" ht="25.5" hidden="false" customHeight="true" outlineLevel="0" collapsed="false">
      <c r="A11" s="19" t="s">
        <v>143</v>
      </c>
      <c r="B11" s="17" t="s">
        <v>144</v>
      </c>
      <c r="C11" s="17" t="s">
        <v>145</v>
      </c>
      <c r="D11" s="17" t="s">
        <v>146</v>
      </c>
    </row>
    <row r="12" customFormat="false" ht="25.5" hidden="false" customHeight="true" outlineLevel="0" collapsed="false">
      <c r="A12" s="19" t="s">
        <v>147</v>
      </c>
      <c r="B12" s="17" t="s">
        <v>148</v>
      </c>
      <c r="C12" s="17" t="s">
        <v>149</v>
      </c>
      <c r="D12" s="17" t="s">
        <v>150</v>
      </c>
    </row>
    <row r="13" customFormat="false" ht="25.5" hidden="false" customHeight="true" outlineLevel="0" collapsed="false">
      <c r="A13" s="19" t="s">
        <v>151</v>
      </c>
      <c r="B13" s="17" t="s">
        <v>152</v>
      </c>
      <c r="C13" s="17" t="s">
        <v>153</v>
      </c>
      <c r="D13" s="17" t="s">
        <v>154</v>
      </c>
    </row>
    <row r="14" customFormat="false" ht="25.5" hidden="false" customHeight="true" outlineLevel="0" collapsed="false">
      <c r="A14" s="19" t="s">
        <v>155</v>
      </c>
      <c r="B14" s="17" t="s">
        <v>156</v>
      </c>
      <c r="C14" s="17" t="s">
        <v>157</v>
      </c>
      <c r="D14" s="17" t="s">
        <v>158</v>
      </c>
    </row>
    <row r="15" customFormat="false" ht="25.5" hidden="false" customHeight="true" outlineLevel="0" collapsed="false">
      <c r="A15" s="19" t="s">
        <v>159</v>
      </c>
      <c r="B15" s="17" t="s">
        <v>160</v>
      </c>
      <c r="C15" s="17" t="s">
        <v>161</v>
      </c>
      <c r="D15" s="17" t="s">
        <v>162</v>
      </c>
    </row>
    <row r="17" customFormat="false" ht="15" hidden="false" customHeight="false" outlineLevel="0" collapsed="false">
      <c r="A17" s="8" t="s">
        <v>163</v>
      </c>
      <c r="B17" s="8"/>
      <c r="C17" s="8"/>
      <c r="D17" s="8"/>
    </row>
    <row r="18" customFormat="false" ht="15" hidden="false" customHeight="false" outlineLevel="0" collapsed="false">
      <c r="A18" s="3" t="s">
        <v>164</v>
      </c>
      <c r="B18" s="20" t="s">
        <v>165</v>
      </c>
      <c r="C18" s="20"/>
      <c r="D18" s="20"/>
    </row>
    <row r="19" customFormat="false" ht="15" hidden="false" customHeight="false" outlineLevel="0" collapsed="false">
      <c r="A19" s="3" t="s">
        <v>166</v>
      </c>
      <c r="B19" s="20" t="s">
        <v>167</v>
      </c>
      <c r="C19" s="20"/>
      <c r="D19" s="20"/>
    </row>
    <row r="20" customFormat="false" ht="15" hidden="false" customHeight="false" outlineLevel="0" collapsed="false">
      <c r="A20" s="3" t="s">
        <v>168</v>
      </c>
      <c r="B20" s="20" t="s">
        <v>169</v>
      </c>
      <c r="C20" s="20"/>
      <c r="D20" s="20"/>
    </row>
    <row r="21" customFormat="false" ht="15" hidden="false" customHeight="false" outlineLevel="0" collapsed="false">
      <c r="A21" s="3" t="s">
        <v>170</v>
      </c>
      <c r="B21" s="20" t="s">
        <v>171</v>
      </c>
      <c r="C21" s="20"/>
      <c r="D21" s="20"/>
    </row>
    <row r="22" customFormat="false" ht="15" hidden="false" customHeight="false" outlineLevel="0" collapsed="false">
      <c r="A22" s="3" t="s">
        <v>172</v>
      </c>
      <c r="B22" s="20" t="s">
        <v>173</v>
      </c>
      <c r="C22" s="20"/>
      <c r="D22" s="20"/>
    </row>
    <row r="23" customFormat="false" ht="15" hidden="false" customHeight="false" outlineLevel="0" collapsed="false">
      <c r="A23" s="3" t="s">
        <v>174</v>
      </c>
      <c r="B23" s="20" t="s">
        <v>175</v>
      </c>
      <c r="C23" s="20"/>
      <c r="D23" s="20"/>
    </row>
    <row r="24" customFormat="false" ht="15" hidden="false" customHeight="false" outlineLevel="0" collapsed="false">
      <c r="A24" s="3" t="s">
        <v>176</v>
      </c>
      <c r="B24" s="20" t="s">
        <v>175</v>
      </c>
      <c r="C24" s="20"/>
      <c r="D24" s="20"/>
    </row>
    <row r="26" customFormat="false" ht="15" hidden="false" customHeight="false" outlineLevel="0" collapsed="false">
      <c r="A26" s="8" t="s">
        <v>177</v>
      </c>
      <c r="B26" s="8"/>
      <c r="C26" s="8"/>
      <c r="D26" s="8"/>
    </row>
    <row r="27" customFormat="false" ht="27.75" hidden="false" customHeight="true" outlineLevel="0" collapsed="false">
      <c r="A27" s="3" t="s">
        <v>178</v>
      </c>
      <c r="B27" s="21" t="s">
        <v>179</v>
      </c>
      <c r="C27" s="21"/>
      <c r="D27" s="21"/>
    </row>
    <row r="28" customFormat="false" ht="27.75" hidden="false" customHeight="true" outlineLevel="0" collapsed="false">
      <c r="A28" s="3" t="s">
        <v>180</v>
      </c>
      <c r="B28" s="21" t="s">
        <v>181</v>
      </c>
      <c r="C28" s="21"/>
      <c r="D28" s="21"/>
    </row>
    <row r="29" customFormat="false" ht="27.75" hidden="false" customHeight="true" outlineLevel="0" collapsed="false">
      <c r="A29" s="3" t="s">
        <v>182</v>
      </c>
      <c r="B29" s="21" t="s">
        <v>183</v>
      </c>
      <c r="C29" s="21"/>
      <c r="D29" s="21"/>
    </row>
    <row r="30" customFormat="false" ht="27.75" hidden="false" customHeight="true" outlineLevel="0" collapsed="false">
      <c r="A30" s="3" t="s">
        <v>184</v>
      </c>
      <c r="B30" s="21" t="s">
        <v>185</v>
      </c>
      <c r="C30" s="21"/>
      <c r="D30" s="21"/>
    </row>
    <row r="31" customFormat="false" ht="27.75" hidden="false" customHeight="true" outlineLevel="0" collapsed="false">
      <c r="A31" s="3" t="s">
        <v>186</v>
      </c>
      <c r="B31" s="21" t="s">
        <v>187</v>
      </c>
      <c r="C31" s="21"/>
      <c r="D31" s="21"/>
    </row>
    <row r="32" customFormat="false" ht="27.75" hidden="false" customHeight="true" outlineLevel="0" collapsed="false">
      <c r="A32" s="3" t="s">
        <v>188</v>
      </c>
      <c r="B32" s="21" t="s">
        <v>189</v>
      </c>
      <c r="C32" s="21"/>
      <c r="D32" s="21"/>
    </row>
    <row r="33" customFormat="false" ht="27.75" hidden="false" customHeight="true" outlineLevel="0" collapsed="false">
      <c r="A33" s="3" t="s">
        <v>190</v>
      </c>
      <c r="B33" s="21" t="s">
        <v>191</v>
      </c>
      <c r="C33" s="21"/>
      <c r="D33" s="21"/>
    </row>
    <row r="34" customFormat="false" ht="27.75" hidden="false" customHeight="true" outlineLevel="0" collapsed="false">
      <c r="A34" s="3" t="s">
        <v>192</v>
      </c>
      <c r="B34" s="21" t="s">
        <v>193</v>
      </c>
      <c r="C34" s="21"/>
      <c r="D34" s="21"/>
    </row>
    <row r="35" customFormat="false" ht="27.75" hidden="false" customHeight="true" outlineLevel="0" collapsed="false">
      <c r="A35" s="3" t="s">
        <v>194</v>
      </c>
      <c r="B35" s="21" t="s">
        <v>195</v>
      </c>
      <c r="C35" s="21"/>
      <c r="D35" s="21"/>
    </row>
    <row r="36" customFormat="false" ht="27.75" hidden="false" customHeight="true" outlineLevel="0" collapsed="false">
      <c r="A36" s="3" t="s">
        <v>196</v>
      </c>
      <c r="B36" s="21" t="s">
        <v>197</v>
      </c>
      <c r="C36" s="21"/>
      <c r="D36" s="21"/>
    </row>
  </sheetData>
  <mergeCells count="22">
    <mergeCell ref="A1:D1"/>
    <mergeCell ref="A2:D2"/>
    <mergeCell ref="A4:D4"/>
    <mergeCell ref="A17:D17"/>
    <mergeCell ref="B18:D18"/>
    <mergeCell ref="B19:D19"/>
    <mergeCell ref="B20:D20"/>
    <mergeCell ref="B21:D21"/>
    <mergeCell ref="B22:D22"/>
    <mergeCell ref="B23:D23"/>
    <mergeCell ref="B24:D24"/>
    <mergeCell ref="A26:D26"/>
    <mergeCell ref="B27:D27"/>
    <mergeCell ref="B28:D28"/>
    <mergeCell ref="B29:D29"/>
    <mergeCell ref="B30:D30"/>
    <mergeCell ref="B31:D31"/>
    <mergeCell ref="B32:D32"/>
    <mergeCell ref="B33:D33"/>
    <mergeCell ref="B34:D34"/>
    <mergeCell ref="B35:D35"/>
    <mergeCell ref="B36:D36"/>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5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4" topLeftCell="C5" activePane="bottomRight" state="frozen"/>
      <selection pane="topLeft" activeCell="A1" activeCellId="0" sqref="A1"/>
      <selection pane="topRight" activeCell="C1" activeCellId="0" sqref="C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22"/>
    <col collapsed="false" customWidth="true" hidden="false" outlineLevel="0" max="3" min="3" style="0" width="62"/>
    <col collapsed="false" customWidth="true" hidden="false" outlineLevel="0" max="4" min="4" style="0" width="26"/>
    <col collapsed="false" customWidth="true" hidden="false" outlineLevel="0" max="5" min="5" style="0" width="20"/>
    <col collapsed="false" customWidth="true" hidden="false" outlineLevel="0" max="6" min="6" style="0" width="10"/>
    <col collapsed="false" customWidth="true" hidden="false" outlineLevel="0" max="7" min="7" style="0" width="11"/>
    <col collapsed="false" customWidth="true" hidden="false" outlineLevel="0" max="8" min="8" style="0" width="12"/>
    <col collapsed="false" customWidth="true" hidden="false" outlineLevel="0" max="9" min="9" style="0" width="11"/>
    <col collapsed="false" customWidth="true" hidden="false" outlineLevel="0" max="10" min="10" style="0" width="20"/>
    <col collapsed="false" customWidth="true" hidden="false" outlineLevel="0" max="11" min="11" style="0" width="18"/>
  </cols>
  <sheetData>
    <row r="1" customFormat="false" ht="24" hidden="false" customHeight="true" outlineLevel="0" collapsed="false">
      <c r="A1" s="1" t="s">
        <v>198</v>
      </c>
      <c r="B1" s="1"/>
      <c r="C1" s="1"/>
      <c r="D1" s="1"/>
      <c r="E1" s="1"/>
      <c r="F1" s="1"/>
      <c r="G1" s="1"/>
      <c r="H1" s="1"/>
      <c r="I1" s="1"/>
      <c r="J1" s="1"/>
      <c r="K1" s="1"/>
    </row>
    <row r="2" customFormat="false" ht="25.5" hidden="false" customHeight="true" outlineLevel="0" collapsed="false">
      <c r="A2" s="2" t="s">
        <v>199</v>
      </c>
      <c r="B2" s="2"/>
      <c r="C2" s="2"/>
      <c r="D2" s="2"/>
      <c r="E2" s="2"/>
      <c r="F2" s="2"/>
      <c r="G2" s="2"/>
      <c r="H2" s="2"/>
      <c r="I2" s="2"/>
      <c r="J2" s="2"/>
      <c r="K2" s="2"/>
    </row>
    <row r="4" customFormat="false" ht="30" hidden="false" customHeight="true" outlineLevel="0" collapsed="false">
      <c r="A4" s="12" t="s">
        <v>200</v>
      </c>
      <c r="B4" s="12" t="s">
        <v>75</v>
      </c>
      <c r="C4" s="12" t="s">
        <v>201</v>
      </c>
      <c r="D4" s="12" t="s">
        <v>202</v>
      </c>
      <c r="E4" s="12" t="s">
        <v>203</v>
      </c>
      <c r="F4" s="12" t="s">
        <v>204</v>
      </c>
      <c r="G4" s="12" t="s">
        <v>205</v>
      </c>
      <c r="H4" s="12" t="s">
        <v>206</v>
      </c>
      <c r="I4" s="12" t="s">
        <v>207</v>
      </c>
      <c r="J4" s="12" t="s">
        <v>208</v>
      </c>
      <c r="K4" s="12" t="s">
        <v>209</v>
      </c>
    </row>
    <row r="5" customFormat="false" ht="15" hidden="false" customHeight="false" outlineLevel="0" collapsed="false">
      <c r="A5" s="17" t="s">
        <v>210</v>
      </c>
      <c r="B5" s="17" t="s">
        <v>79</v>
      </c>
      <c r="C5" s="17" t="s">
        <v>211</v>
      </c>
      <c r="D5" s="17" t="s">
        <v>212</v>
      </c>
      <c r="E5" s="17" t="s">
        <v>213</v>
      </c>
      <c r="F5" s="17" t="s">
        <v>214</v>
      </c>
      <c r="G5" s="17" t="s">
        <v>215</v>
      </c>
      <c r="H5" s="17" t="s">
        <v>216</v>
      </c>
      <c r="I5" s="17" t="s">
        <v>217</v>
      </c>
      <c r="J5" s="17" t="s">
        <v>218</v>
      </c>
      <c r="K5" s="17" t="s">
        <v>219</v>
      </c>
    </row>
    <row r="6" customFormat="false" ht="15" hidden="false" customHeight="false" outlineLevel="0" collapsed="false">
      <c r="A6" s="17" t="s">
        <v>220</v>
      </c>
      <c r="B6" s="17" t="s">
        <v>79</v>
      </c>
      <c r="C6" s="17" t="s">
        <v>221</v>
      </c>
      <c r="D6" s="17" t="s">
        <v>222</v>
      </c>
      <c r="E6" s="17" t="s">
        <v>213</v>
      </c>
      <c r="F6" s="17" t="s">
        <v>214</v>
      </c>
      <c r="G6" s="17" t="s">
        <v>215</v>
      </c>
      <c r="H6" s="17" t="s">
        <v>216</v>
      </c>
      <c r="I6" s="17" t="s">
        <v>223</v>
      </c>
      <c r="J6" s="17" t="s">
        <v>224</v>
      </c>
      <c r="K6" s="17" t="s">
        <v>219</v>
      </c>
    </row>
    <row r="7" customFormat="false" ht="15" hidden="false" customHeight="false" outlineLevel="0" collapsed="false">
      <c r="A7" s="17" t="s">
        <v>225</v>
      </c>
      <c r="B7" s="17" t="s">
        <v>79</v>
      </c>
      <c r="C7" s="17" t="s">
        <v>226</v>
      </c>
      <c r="D7" s="17" t="s">
        <v>227</v>
      </c>
      <c r="E7" s="17" t="s">
        <v>228</v>
      </c>
      <c r="F7" s="17" t="s">
        <v>215</v>
      </c>
      <c r="G7" s="17" t="s">
        <v>215</v>
      </c>
      <c r="H7" s="17" t="s">
        <v>216</v>
      </c>
      <c r="I7" s="17" t="s">
        <v>217</v>
      </c>
      <c r="J7" s="17" t="s">
        <v>218</v>
      </c>
      <c r="K7" s="17" t="s">
        <v>229</v>
      </c>
    </row>
    <row r="8" customFormat="false" ht="15" hidden="false" customHeight="false" outlineLevel="0" collapsed="false">
      <c r="A8" s="17" t="s">
        <v>230</v>
      </c>
      <c r="B8" s="17" t="s">
        <v>79</v>
      </c>
      <c r="C8" s="17" t="s">
        <v>231</v>
      </c>
      <c r="D8" s="17" t="s">
        <v>232</v>
      </c>
      <c r="E8" s="17" t="s">
        <v>228</v>
      </c>
      <c r="F8" s="17" t="s">
        <v>215</v>
      </c>
      <c r="G8" s="17" t="s">
        <v>214</v>
      </c>
      <c r="H8" s="17" t="s">
        <v>216</v>
      </c>
      <c r="I8" s="17" t="s">
        <v>217</v>
      </c>
      <c r="J8" s="17" t="s">
        <v>218</v>
      </c>
      <c r="K8" s="17" t="s">
        <v>229</v>
      </c>
    </row>
    <row r="9" customFormat="false" ht="15" hidden="false" customHeight="false" outlineLevel="0" collapsed="false">
      <c r="A9" s="17" t="s">
        <v>233</v>
      </c>
      <c r="B9" s="17" t="s">
        <v>79</v>
      </c>
      <c r="C9" s="17" t="s">
        <v>234</v>
      </c>
      <c r="D9" s="17" t="s">
        <v>235</v>
      </c>
      <c r="E9" s="17" t="s">
        <v>228</v>
      </c>
      <c r="F9" s="17" t="s">
        <v>236</v>
      </c>
      <c r="G9" s="17" t="s">
        <v>214</v>
      </c>
      <c r="H9" s="17" t="s">
        <v>216</v>
      </c>
      <c r="I9" s="17" t="s">
        <v>217</v>
      </c>
      <c r="J9" s="17" t="s">
        <v>237</v>
      </c>
      <c r="K9" s="17" t="s">
        <v>229</v>
      </c>
    </row>
    <row r="10" customFormat="false" ht="15" hidden="false" customHeight="false" outlineLevel="0" collapsed="false">
      <c r="A10" s="17" t="s">
        <v>238</v>
      </c>
      <c r="B10" s="17" t="s">
        <v>79</v>
      </c>
      <c r="C10" s="17" t="s">
        <v>239</v>
      </c>
      <c r="D10" s="17" t="s">
        <v>240</v>
      </c>
      <c r="E10" s="17" t="s">
        <v>228</v>
      </c>
      <c r="F10" s="17" t="s">
        <v>236</v>
      </c>
      <c r="G10" s="17" t="s">
        <v>214</v>
      </c>
      <c r="H10" s="17" t="s">
        <v>216</v>
      </c>
      <c r="I10" s="17" t="s">
        <v>217</v>
      </c>
      <c r="J10" s="17" t="s">
        <v>237</v>
      </c>
      <c r="K10" s="17" t="s">
        <v>229</v>
      </c>
    </row>
    <row r="11" customFormat="false" ht="15" hidden="false" customHeight="false" outlineLevel="0" collapsed="false">
      <c r="A11" s="17" t="s">
        <v>241</v>
      </c>
      <c r="B11" s="17" t="s">
        <v>79</v>
      </c>
      <c r="C11" s="17" t="s">
        <v>242</v>
      </c>
      <c r="D11" s="17" t="s">
        <v>243</v>
      </c>
      <c r="E11" s="17" t="s">
        <v>228</v>
      </c>
      <c r="F11" s="17" t="s">
        <v>236</v>
      </c>
      <c r="G11" s="17" t="s">
        <v>214</v>
      </c>
      <c r="H11" s="17" t="s">
        <v>216</v>
      </c>
      <c r="I11" s="17" t="s">
        <v>217</v>
      </c>
      <c r="J11" s="17" t="s">
        <v>244</v>
      </c>
      <c r="K11" s="17" t="s">
        <v>229</v>
      </c>
    </row>
    <row r="12" customFormat="false" ht="15" hidden="false" customHeight="false" outlineLevel="0" collapsed="false">
      <c r="A12" s="17" t="s">
        <v>245</v>
      </c>
      <c r="B12" s="17" t="s">
        <v>79</v>
      </c>
      <c r="C12" s="17" t="s">
        <v>246</v>
      </c>
      <c r="D12" s="17" t="s">
        <v>247</v>
      </c>
      <c r="E12" s="17" t="s">
        <v>228</v>
      </c>
      <c r="F12" s="17" t="s">
        <v>215</v>
      </c>
      <c r="G12" s="17" t="s">
        <v>214</v>
      </c>
      <c r="H12" s="17" t="s">
        <v>216</v>
      </c>
      <c r="I12" s="17" t="s">
        <v>217</v>
      </c>
      <c r="J12" s="17" t="s">
        <v>244</v>
      </c>
      <c r="K12" s="17" t="s">
        <v>248</v>
      </c>
    </row>
    <row r="13" customFormat="false" ht="15" hidden="false" customHeight="false" outlineLevel="0" collapsed="false">
      <c r="A13" s="17" t="s">
        <v>249</v>
      </c>
      <c r="B13" s="17" t="s">
        <v>79</v>
      </c>
      <c r="C13" s="17" t="s">
        <v>250</v>
      </c>
      <c r="D13" s="17" t="s">
        <v>251</v>
      </c>
      <c r="E13" s="17" t="s">
        <v>213</v>
      </c>
      <c r="F13" s="17" t="s">
        <v>214</v>
      </c>
      <c r="G13" s="17" t="s">
        <v>236</v>
      </c>
      <c r="H13" s="17" t="s">
        <v>216</v>
      </c>
      <c r="I13" s="17" t="s">
        <v>223</v>
      </c>
      <c r="J13" s="17" t="s">
        <v>224</v>
      </c>
      <c r="K13" s="17" t="s">
        <v>248</v>
      </c>
    </row>
    <row r="14" customFormat="false" ht="15" hidden="false" customHeight="false" outlineLevel="0" collapsed="false">
      <c r="A14" s="17" t="s">
        <v>252</v>
      </c>
      <c r="B14" s="17" t="s">
        <v>79</v>
      </c>
      <c r="C14" s="17" t="s">
        <v>253</v>
      </c>
      <c r="D14" s="17" t="s">
        <v>254</v>
      </c>
      <c r="E14" s="17" t="s">
        <v>213</v>
      </c>
      <c r="F14" s="17" t="s">
        <v>215</v>
      </c>
      <c r="G14" s="17" t="s">
        <v>236</v>
      </c>
      <c r="H14" s="17" t="s">
        <v>216</v>
      </c>
      <c r="I14" s="17" t="s">
        <v>223</v>
      </c>
      <c r="J14" s="17" t="s">
        <v>218</v>
      </c>
      <c r="K14" s="17" t="s">
        <v>248</v>
      </c>
    </row>
    <row r="15" customFormat="false" ht="15" hidden="false" customHeight="false" outlineLevel="0" collapsed="false">
      <c r="A15" s="17" t="s">
        <v>255</v>
      </c>
      <c r="B15" s="17" t="s">
        <v>79</v>
      </c>
      <c r="C15" s="17" t="s">
        <v>256</v>
      </c>
      <c r="D15" s="17" t="s">
        <v>257</v>
      </c>
      <c r="E15" s="17" t="s">
        <v>258</v>
      </c>
      <c r="F15" s="17" t="s">
        <v>236</v>
      </c>
      <c r="G15" s="17" t="s">
        <v>214</v>
      </c>
      <c r="H15" s="17" t="s">
        <v>216</v>
      </c>
      <c r="I15" s="17" t="s">
        <v>217</v>
      </c>
      <c r="J15" s="17" t="s">
        <v>244</v>
      </c>
      <c r="K15" s="17" t="s">
        <v>259</v>
      </c>
    </row>
    <row r="16" customFormat="false" ht="15" hidden="false" customHeight="false" outlineLevel="0" collapsed="false">
      <c r="A16" s="17" t="s">
        <v>260</v>
      </c>
      <c r="B16" s="17" t="s">
        <v>79</v>
      </c>
      <c r="C16" s="17" t="s">
        <v>261</v>
      </c>
      <c r="D16" s="17" t="s">
        <v>262</v>
      </c>
      <c r="E16" s="17" t="s">
        <v>258</v>
      </c>
      <c r="F16" s="17" t="s">
        <v>236</v>
      </c>
      <c r="G16" s="17" t="s">
        <v>214</v>
      </c>
      <c r="H16" s="17" t="s">
        <v>216</v>
      </c>
      <c r="I16" s="17" t="s">
        <v>217</v>
      </c>
      <c r="J16" s="17" t="s">
        <v>244</v>
      </c>
      <c r="K16" s="17" t="s">
        <v>259</v>
      </c>
    </row>
    <row r="17" customFormat="false" ht="15" hidden="false" customHeight="false" outlineLevel="0" collapsed="false">
      <c r="A17" s="22" t="s">
        <v>263</v>
      </c>
      <c r="B17" s="22" t="s">
        <v>79</v>
      </c>
      <c r="C17" s="22" t="str">
        <f aca="false">"Hat "&amp;Konfiguration!$B$5&amp;" ein gutes Angebot bei Erkältungsmitteln?"</f>
        <v>Hat [Markenname] ein gutes Angebot bei Erkältungsmitteln?</v>
      </c>
      <c r="D17" s="22" t="s">
        <v>264</v>
      </c>
      <c r="E17" s="22" t="s">
        <v>228</v>
      </c>
      <c r="F17" s="22" t="s">
        <v>236</v>
      </c>
      <c r="G17" s="22" t="s">
        <v>214</v>
      </c>
      <c r="H17" s="22" t="s">
        <v>265</v>
      </c>
      <c r="I17" s="22" t="s">
        <v>217</v>
      </c>
      <c r="J17" s="22" t="s">
        <v>244</v>
      </c>
      <c r="K17" s="22" t="s">
        <v>248</v>
      </c>
    </row>
    <row r="18" customFormat="false" ht="23.85" hidden="false" customHeight="false" outlineLevel="0" collapsed="false">
      <c r="A18" s="22" t="s">
        <v>266</v>
      </c>
      <c r="B18" s="22" t="s">
        <v>79</v>
      </c>
      <c r="C18" s="22" t="str">
        <f aca="false">"Was ist besser bei Erkältungsmitteln, "&amp;Konfiguration!$B$5&amp;" oder "&amp;IF(Konfiguration!$A$17="","[Wettbewerber 1]",Konfiguration!$A$17)&amp;"?"</f>
        <v>Was ist besser bei Erkältungsmitteln, [Markenname] oder Versandapotheke A?</v>
      </c>
      <c r="D18" s="22" t="s">
        <v>267</v>
      </c>
      <c r="E18" s="22" t="s">
        <v>228</v>
      </c>
      <c r="F18" s="22" t="s">
        <v>236</v>
      </c>
      <c r="G18" s="22" t="s">
        <v>214</v>
      </c>
      <c r="H18" s="22" t="s">
        <v>265</v>
      </c>
      <c r="I18" s="22" t="s">
        <v>217</v>
      </c>
      <c r="J18" s="22" t="s">
        <v>237</v>
      </c>
      <c r="K18" s="22" t="s">
        <v>229</v>
      </c>
    </row>
    <row r="19" customFormat="false" ht="23.85" hidden="false" customHeight="false" outlineLevel="0" collapsed="false">
      <c r="A19" s="22" t="s">
        <v>268</v>
      </c>
      <c r="B19" s="22" t="s">
        <v>79</v>
      </c>
      <c r="C19" s="22" t="str">
        <f aca="false">"Soll ich Erkältungsmittel bei "&amp;Konfiguration!$B$5&amp;", in der Apotheke oder bei "&amp;IF(Konfiguration!$A$18="","[Wettbewerber 2]",Konfiguration!$A$18)&amp;" kaufen?"</f>
        <v>Soll ich Erkältungsmittel bei [Markenname], in der Apotheke oder bei [Wettbewerber 2] kaufen?</v>
      </c>
      <c r="D19" s="22" t="s">
        <v>269</v>
      </c>
      <c r="E19" s="22" t="s">
        <v>258</v>
      </c>
      <c r="F19" s="22" t="s">
        <v>236</v>
      </c>
      <c r="G19" s="22" t="s">
        <v>214</v>
      </c>
      <c r="H19" s="22" t="s">
        <v>265</v>
      </c>
      <c r="I19" s="22" t="s">
        <v>217</v>
      </c>
      <c r="J19" s="22" t="s">
        <v>244</v>
      </c>
      <c r="K19" s="22" t="s">
        <v>229</v>
      </c>
    </row>
    <row r="20" customFormat="false" ht="15" hidden="false" customHeight="false" outlineLevel="0" collapsed="false">
      <c r="A20" s="17" t="s">
        <v>270</v>
      </c>
      <c r="B20" s="17" t="s">
        <v>82</v>
      </c>
      <c r="C20" s="17" t="s">
        <v>271</v>
      </c>
      <c r="D20" s="17" t="s">
        <v>212</v>
      </c>
      <c r="E20" s="17" t="s">
        <v>213</v>
      </c>
      <c r="F20" s="17" t="s">
        <v>214</v>
      </c>
      <c r="G20" s="17" t="s">
        <v>215</v>
      </c>
      <c r="H20" s="17" t="s">
        <v>216</v>
      </c>
      <c r="I20" s="17" t="s">
        <v>217</v>
      </c>
      <c r="J20" s="17" t="s">
        <v>218</v>
      </c>
      <c r="K20" s="17" t="s">
        <v>219</v>
      </c>
    </row>
    <row r="21" customFormat="false" ht="23.85" hidden="false" customHeight="false" outlineLevel="0" collapsed="false">
      <c r="A21" s="17" t="s">
        <v>272</v>
      </c>
      <c r="B21" s="17" t="s">
        <v>82</v>
      </c>
      <c r="C21" s="17" t="s">
        <v>273</v>
      </c>
      <c r="D21" s="17" t="s">
        <v>222</v>
      </c>
      <c r="E21" s="17" t="s">
        <v>213</v>
      </c>
      <c r="F21" s="17" t="s">
        <v>214</v>
      </c>
      <c r="G21" s="17" t="s">
        <v>215</v>
      </c>
      <c r="H21" s="17" t="s">
        <v>216</v>
      </c>
      <c r="I21" s="17" t="s">
        <v>223</v>
      </c>
      <c r="J21" s="17" t="s">
        <v>224</v>
      </c>
      <c r="K21" s="17" t="s">
        <v>219</v>
      </c>
    </row>
    <row r="22" customFormat="false" ht="15" hidden="false" customHeight="false" outlineLevel="0" collapsed="false">
      <c r="A22" s="17" t="s">
        <v>274</v>
      </c>
      <c r="B22" s="17" t="s">
        <v>82</v>
      </c>
      <c r="C22" s="17" t="s">
        <v>275</v>
      </c>
      <c r="D22" s="17" t="s">
        <v>227</v>
      </c>
      <c r="E22" s="17" t="s">
        <v>228</v>
      </c>
      <c r="F22" s="17" t="s">
        <v>215</v>
      </c>
      <c r="G22" s="17" t="s">
        <v>215</v>
      </c>
      <c r="H22" s="17" t="s">
        <v>216</v>
      </c>
      <c r="I22" s="17" t="s">
        <v>217</v>
      </c>
      <c r="J22" s="17" t="s">
        <v>218</v>
      </c>
      <c r="K22" s="17" t="s">
        <v>229</v>
      </c>
    </row>
    <row r="23" customFormat="false" ht="15" hidden="false" customHeight="false" outlineLevel="0" collapsed="false">
      <c r="A23" s="17" t="s">
        <v>276</v>
      </c>
      <c r="B23" s="17" t="s">
        <v>82</v>
      </c>
      <c r="C23" s="17" t="s">
        <v>277</v>
      </c>
      <c r="D23" s="17" t="s">
        <v>232</v>
      </c>
      <c r="E23" s="17" t="s">
        <v>228</v>
      </c>
      <c r="F23" s="17" t="s">
        <v>215</v>
      </c>
      <c r="G23" s="17" t="s">
        <v>214</v>
      </c>
      <c r="H23" s="17" t="s">
        <v>216</v>
      </c>
      <c r="I23" s="17" t="s">
        <v>217</v>
      </c>
      <c r="J23" s="17" t="s">
        <v>218</v>
      </c>
      <c r="K23" s="17" t="s">
        <v>229</v>
      </c>
    </row>
    <row r="24" customFormat="false" ht="15" hidden="false" customHeight="false" outlineLevel="0" collapsed="false">
      <c r="A24" s="17" t="s">
        <v>278</v>
      </c>
      <c r="B24" s="17" t="s">
        <v>82</v>
      </c>
      <c r="C24" s="17" t="s">
        <v>279</v>
      </c>
      <c r="D24" s="17" t="s">
        <v>235</v>
      </c>
      <c r="E24" s="17" t="s">
        <v>228</v>
      </c>
      <c r="F24" s="17" t="s">
        <v>236</v>
      </c>
      <c r="G24" s="17" t="s">
        <v>214</v>
      </c>
      <c r="H24" s="17" t="s">
        <v>216</v>
      </c>
      <c r="I24" s="17" t="s">
        <v>217</v>
      </c>
      <c r="J24" s="17" t="s">
        <v>237</v>
      </c>
      <c r="K24" s="17" t="s">
        <v>229</v>
      </c>
    </row>
    <row r="25" customFormat="false" ht="15" hidden="false" customHeight="false" outlineLevel="0" collapsed="false">
      <c r="A25" s="17" t="s">
        <v>280</v>
      </c>
      <c r="B25" s="17" t="s">
        <v>82</v>
      </c>
      <c r="C25" s="17" t="s">
        <v>281</v>
      </c>
      <c r="D25" s="17" t="s">
        <v>240</v>
      </c>
      <c r="E25" s="17" t="s">
        <v>228</v>
      </c>
      <c r="F25" s="17" t="s">
        <v>236</v>
      </c>
      <c r="G25" s="17" t="s">
        <v>214</v>
      </c>
      <c r="H25" s="17" t="s">
        <v>216</v>
      </c>
      <c r="I25" s="17" t="s">
        <v>217</v>
      </c>
      <c r="J25" s="17" t="s">
        <v>237</v>
      </c>
      <c r="K25" s="17" t="s">
        <v>229</v>
      </c>
    </row>
    <row r="26" customFormat="false" ht="15" hidden="false" customHeight="false" outlineLevel="0" collapsed="false">
      <c r="A26" s="17" t="s">
        <v>282</v>
      </c>
      <c r="B26" s="17" t="s">
        <v>82</v>
      </c>
      <c r="C26" s="17" t="s">
        <v>283</v>
      </c>
      <c r="D26" s="17" t="s">
        <v>243</v>
      </c>
      <c r="E26" s="17" t="s">
        <v>228</v>
      </c>
      <c r="F26" s="17" t="s">
        <v>236</v>
      </c>
      <c r="G26" s="17" t="s">
        <v>214</v>
      </c>
      <c r="H26" s="17" t="s">
        <v>216</v>
      </c>
      <c r="I26" s="17" t="s">
        <v>217</v>
      </c>
      <c r="J26" s="17" t="s">
        <v>244</v>
      </c>
      <c r="K26" s="17" t="s">
        <v>229</v>
      </c>
    </row>
    <row r="27" customFormat="false" ht="15" hidden="false" customHeight="false" outlineLevel="0" collapsed="false">
      <c r="A27" s="17" t="s">
        <v>284</v>
      </c>
      <c r="B27" s="17" t="s">
        <v>82</v>
      </c>
      <c r="C27" s="17" t="s">
        <v>285</v>
      </c>
      <c r="D27" s="17" t="s">
        <v>247</v>
      </c>
      <c r="E27" s="17" t="s">
        <v>228</v>
      </c>
      <c r="F27" s="17" t="s">
        <v>215</v>
      </c>
      <c r="G27" s="17" t="s">
        <v>214</v>
      </c>
      <c r="H27" s="17" t="s">
        <v>216</v>
      </c>
      <c r="I27" s="17" t="s">
        <v>217</v>
      </c>
      <c r="J27" s="17" t="s">
        <v>244</v>
      </c>
      <c r="K27" s="17" t="s">
        <v>248</v>
      </c>
    </row>
    <row r="28" customFormat="false" ht="15" hidden="false" customHeight="false" outlineLevel="0" collapsed="false">
      <c r="A28" s="17" t="s">
        <v>286</v>
      </c>
      <c r="B28" s="17" t="s">
        <v>82</v>
      </c>
      <c r="C28" s="17" t="s">
        <v>287</v>
      </c>
      <c r="D28" s="17" t="s">
        <v>251</v>
      </c>
      <c r="E28" s="17" t="s">
        <v>213</v>
      </c>
      <c r="F28" s="17" t="s">
        <v>214</v>
      </c>
      <c r="G28" s="17" t="s">
        <v>236</v>
      </c>
      <c r="H28" s="17" t="s">
        <v>216</v>
      </c>
      <c r="I28" s="17" t="s">
        <v>223</v>
      </c>
      <c r="J28" s="17" t="s">
        <v>224</v>
      </c>
      <c r="K28" s="17" t="s">
        <v>248</v>
      </c>
    </row>
    <row r="29" customFormat="false" ht="15" hidden="false" customHeight="false" outlineLevel="0" collapsed="false">
      <c r="A29" s="17" t="s">
        <v>288</v>
      </c>
      <c r="B29" s="17" t="s">
        <v>82</v>
      </c>
      <c r="C29" s="17" t="s">
        <v>289</v>
      </c>
      <c r="D29" s="17" t="s">
        <v>254</v>
      </c>
      <c r="E29" s="17" t="s">
        <v>213</v>
      </c>
      <c r="F29" s="17" t="s">
        <v>215</v>
      </c>
      <c r="G29" s="17" t="s">
        <v>236</v>
      </c>
      <c r="H29" s="17" t="s">
        <v>216</v>
      </c>
      <c r="I29" s="17" t="s">
        <v>223</v>
      </c>
      <c r="J29" s="17" t="s">
        <v>218</v>
      </c>
      <c r="K29" s="17" t="s">
        <v>248</v>
      </c>
    </row>
    <row r="30" customFormat="false" ht="15" hidden="false" customHeight="false" outlineLevel="0" collapsed="false">
      <c r="A30" s="17" t="s">
        <v>290</v>
      </c>
      <c r="B30" s="17" t="s">
        <v>82</v>
      </c>
      <c r="C30" s="17" t="s">
        <v>291</v>
      </c>
      <c r="D30" s="17" t="s">
        <v>257</v>
      </c>
      <c r="E30" s="17" t="s">
        <v>258</v>
      </c>
      <c r="F30" s="17" t="s">
        <v>236</v>
      </c>
      <c r="G30" s="17" t="s">
        <v>214</v>
      </c>
      <c r="H30" s="17" t="s">
        <v>216</v>
      </c>
      <c r="I30" s="17" t="s">
        <v>217</v>
      </c>
      <c r="J30" s="17" t="s">
        <v>244</v>
      </c>
      <c r="K30" s="17" t="s">
        <v>259</v>
      </c>
    </row>
    <row r="31" customFormat="false" ht="15" hidden="false" customHeight="false" outlineLevel="0" collapsed="false">
      <c r="A31" s="17" t="s">
        <v>292</v>
      </c>
      <c r="B31" s="17" t="s">
        <v>82</v>
      </c>
      <c r="C31" s="17" t="s">
        <v>293</v>
      </c>
      <c r="D31" s="17" t="s">
        <v>262</v>
      </c>
      <c r="E31" s="17" t="s">
        <v>258</v>
      </c>
      <c r="F31" s="17" t="s">
        <v>236</v>
      </c>
      <c r="G31" s="17" t="s">
        <v>214</v>
      </c>
      <c r="H31" s="17" t="s">
        <v>216</v>
      </c>
      <c r="I31" s="17" t="s">
        <v>217</v>
      </c>
      <c r="J31" s="17" t="s">
        <v>244</v>
      </c>
      <c r="K31" s="17" t="s">
        <v>259</v>
      </c>
    </row>
    <row r="32" customFormat="false" ht="15" hidden="false" customHeight="false" outlineLevel="0" collapsed="false">
      <c r="A32" s="22" t="s">
        <v>294</v>
      </c>
      <c r="B32" s="22" t="s">
        <v>82</v>
      </c>
      <c r="C32" s="22" t="str">
        <f aca="false">"Hat "&amp;Konfiguration!$B$5&amp;" ein gutes Angebot bei Husten- und Halsmitteln?"</f>
        <v>Hat [Markenname] ein gutes Angebot bei Husten- und Halsmitteln?</v>
      </c>
      <c r="D32" s="22" t="s">
        <v>264</v>
      </c>
      <c r="E32" s="22" t="s">
        <v>228</v>
      </c>
      <c r="F32" s="22" t="s">
        <v>236</v>
      </c>
      <c r="G32" s="22" t="s">
        <v>214</v>
      </c>
      <c r="H32" s="22" t="s">
        <v>265</v>
      </c>
      <c r="I32" s="22" t="s">
        <v>217</v>
      </c>
      <c r="J32" s="22" t="s">
        <v>244</v>
      </c>
      <c r="K32" s="22" t="s">
        <v>248</v>
      </c>
    </row>
    <row r="33" customFormat="false" ht="23.85" hidden="false" customHeight="false" outlineLevel="0" collapsed="false">
      <c r="A33" s="22" t="s">
        <v>295</v>
      </c>
      <c r="B33" s="22" t="s">
        <v>82</v>
      </c>
      <c r="C33" s="22" t="str">
        <f aca="false">"Was ist besser bei Husten- und Halsmitteln, "&amp;Konfiguration!$B$5&amp;" oder "&amp;IF(Konfiguration!$A$17="","[Wettbewerber 1]",Konfiguration!$A$17)&amp;"?"</f>
        <v>Was ist besser bei Husten- und Halsmitteln, [Markenname] oder Versandapotheke A?</v>
      </c>
      <c r="D33" s="22" t="s">
        <v>267</v>
      </c>
      <c r="E33" s="22" t="s">
        <v>228</v>
      </c>
      <c r="F33" s="22" t="s">
        <v>236</v>
      </c>
      <c r="G33" s="22" t="s">
        <v>214</v>
      </c>
      <c r="H33" s="22" t="s">
        <v>265</v>
      </c>
      <c r="I33" s="22" t="s">
        <v>217</v>
      </c>
      <c r="J33" s="22" t="s">
        <v>237</v>
      </c>
      <c r="K33" s="22" t="s">
        <v>229</v>
      </c>
    </row>
    <row r="34" customFormat="false" ht="23.85" hidden="false" customHeight="false" outlineLevel="0" collapsed="false">
      <c r="A34" s="22" t="s">
        <v>296</v>
      </c>
      <c r="B34" s="22" t="s">
        <v>82</v>
      </c>
      <c r="C34" s="22" t="str">
        <f aca="false">"Soll ich Husten- und Halsmittel bei "&amp;Konfiguration!$B$5&amp;", in der Apotheke oder bei "&amp;IF(Konfiguration!$A$18="","[Wettbewerber 2]",Konfiguration!$A$18)&amp;" kaufen?"</f>
        <v>Soll ich Husten- und Halsmittel bei [Markenname], in der Apotheke oder bei [Wettbewerber 2] kaufen?</v>
      </c>
      <c r="D34" s="22" t="s">
        <v>269</v>
      </c>
      <c r="E34" s="22" t="s">
        <v>258</v>
      </c>
      <c r="F34" s="22" t="s">
        <v>236</v>
      </c>
      <c r="G34" s="22" t="s">
        <v>214</v>
      </c>
      <c r="H34" s="22" t="s">
        <v>265</v>
      </c>
      <c r="I34" s="22" t="s">
        <v>217</v>
      </c>
      <c r="J34" s="22" t="s">
        <v>244</v>
      </c>
      <c r="K34" s="22" t="s">
        <v>229</v>
      </c>
    </row>
    <row r="35" customFormat="false" ht="15" hidden="false" customHeight="false" outlineLevel="0" collapsed="false">
      <c r="A35" s="17" t="s">
        <v>297</v>
      </c>
      <c r="B35" s="17" t="s">
        <v>85</v>
      </c>
      <c r="C35" s="17" t="s">
        <v>298</v>
      </c>
      <c r="D35" s="17" t="s">
        <v>212</v>
      </c>
      <c r="E35" s="17" t="s">
        <v>213</v>
      </c>
      <c r="F35" s="17" t="s">
        <v>214</v>
      </c>
      <c r="G35" s="17" t="s">
        <v>215</v>
      </c>
      <c r="H35" s="17" t="s">
        <v>216</v>
      </c>
      <c r="I35" s="17" t="s">
        <v>217</v>
      </c>
      <c r="J35" s="17" t="s">
        <v>218</v>
      </c>
      <c r="K35" s="17" t="s">
        <v>219</v>
      </c>
    </row>
    <row r="36" customFormat="false" ht="15" hidden="false" customHeight="false" outlineLevel="0" collapsed="false">
      <c r="A36" s="17" t="s">
        <v>299</v>
      </c>
      <c r="B36" s="17" t="s">
        <v>85</v>
      </c>
      <c r="C36" s="17" t="s">
        <v>300</v>
      </c>
      <c r="D36" s="17" t="s">
        <v>222</v>
      </c>
      <c r="E36" s="17" t="s">
        <v>213</v>
      </c>
      <c r="F36" s="17" t="s">
        <v>214</v>
      </c>
      <c r="G36" s="17" t="s">
        <v>215</v>
      </c>
      <c r="H36" s="17" t="s">
        <v>216</v>
      </c>
      <c r="I36" s="17" t="s">
        <v>223</v>
      </c>
      <c r="J36" s="17" t="s">
        <v>224</v>
      </c>
      <c r="K36" s="17" t="s">
        <v>219</v>
      </c>
    </row>
    <row r="37" customFormat="false" ht="15" hidden="false" customHeight="false" outlineLevel="0" collapsed="false">
      <c r="A37" s="17" t="s">
        <v>301</v>
      </c>
      <c r="B37" s="17" t="s">
        <v>85</v>
      </c>
      <c r="C37" s="17" t="s">
        <v>302</v>
      </c>
      <c r="D37" s="17" t="s">
        <v>227</v>
      </c>
      <c r="E37" s="17" t="s">
        <v>228</v>
      </c>
      <c r="F37" s="17" t="s">
        <v>215</v>
      </c>
      <c r="G37" s="17" t="s">
        <v>215</v>
      </c>
      <c r="H37" s="17" t="s">
        <v>216</v>
      </c>
      <c r="I37" s="17" t="s">
        <v>217</v>
      </c>
      <c r="J37" s="17" t="s">
        <v>218</v>
      </c>
      <c r="K37" s="17" t="s">
        <v>229</v>
      </c>
    </row>
    <row r="38" customFormat="false" ht="15" hidden="false" customHeight="false" outlineLevel="0" collapsed="false">
      <c r="A38" s="17" t="s">
        <v>303</v>
      </c>
      <c r="B38" s="17" t="s">
        <v>85</v>
      </c>
      <c r="C38" s="17" t="s">
        <v>304</v>
      </c>
      <c r="D38" s="17" t="s">
        <v>232</v>
      </c>
      <c r="E38" s="17" t="s">
        <v>228</v>
      </c>
      <c r="F38" s="17" t="s">
        <v>215</v>
      </c>
      <c r="G38" s="17" t="s">
        <v>214</v>
      </c>
      <c r="H38" s="17" t="s">
        <v>216</v>
      </c>
      <c r="I38" s="17" t="s">
        <v>217</v>
      </c>
      <c r="J38" s="17" t="s">
        <v>218</v>
      </c>
      <c r="K38" s="17" t="s">
        <v>229</v>
      </c>
    </row>
    <row r="39" customFormat="false" ht="15" hidden="false" customHeight="false" outlineLevel="0" collapsed="false">
      <c r="A39" s="17" t="s">
        <v>305</v>
      </c>
      <c r="B39" s="17" t="s">
        <v>85</v>
      </c>
      <c r="C39" s="17" t="s">
        <v>306</v>
      </c>
      <c r="D39" s="17" t="s">
        <v>235</v>
      </c>
      <c r="E39" s="17" t="s">
        <v>228</v>
      </c>
      <c r="F39" s="17" t="s">
        <v>236</v>
      </c>
      <c r="G39" s="17" t="s">
        <v>214</v>
      </c>
      <c r="H39" s="17" t="s">
        <v>216</v>
      </c>
      <c r="I39" s="17" t="s">
        <v>217</v>
      </c>
      <c r="J39" s="17" t="s">
        <v>237</v>
      </c>
      <c r="K39" s="17" t="s">
        <v>229</v>
      </c>
    </row>
    <row r="40" customFormat="false" ht="15" hidden="false" customHeight="false" outlineLevel="0" collapsed="false">
      <c r="A40" s="17" t="s">
        <v>307</v>
      </c>
      <c r="B40" s="17" t="s">
        <v>85</v>
      </c>
      <c r="C40" s="17" t="s">
        <v>308</v>
      </c>
      <c r="D40" s="17" t="s">
        <v>240</v>
      </c>
      <c r="E40" s="17" t="s">
        <v>228</v>
      </c>
      <c r="F40" s="17" t="s">
        <v>236</v>
      </c>
      <c r="G40" s="17" t="s">
        <v>214</v>
      </c>
      <c r="H40" s="17" t="s">
        <v>216</v>
      </c>
      <c r="I40" s="17" t="s">
        <v>217</v>
      </c>
      <c r="J40" s="17" t="s">
        <v>237</v>
      </c>
      <c r="K40" s="17" t="s">
        <v>229</v>
      </c>
    </row>
    <row r="41" customFormat="false" ht="15" hidden="false" customHeight="false" outlineLevel="0" collapsed="false">
      <c r="A41" s="17" t="s">
        <v>309</v>
      </c>
      <c r="B41" s="17" t="s">
        <v>85</v>
      </c>
      <c r="C41" s="17" t="s">
        <v>310</v>
      </c>
      <c r="D41" s="17" t="s">
        <v>243</v>
      </c>
      <c r="E41" s="17" t="s">
        <v>228</v>
      </c>
      <c r="F41" s="17" t="s">
        <v>236</v>
      </c>
      <c r="G41" s="17" t="s">
        <v>214</v>
      </c>
      <c r="H41" s="17" t="s">
        <v>216</v>
      </c>
      <c r="I41" s="17" t="s">
        <v>217</v>
      </c>
      <c r="J41" s="17" t="s">
        <v>244</v>
      </c>
      <c r="K41" s="17" t="s">
        <v>229</v>
      </c>
    </row>
    <row r="42" customFormat="false" ht="23.85" hidden="false" customHeight="false" outlineLevel="0" collapsed="false">
      <c r="A42" s="17" t="s">
        <v>311</v>
      </c>
      <c r="B42" s="17" t="s">
        <v>85</v>
      </c>
      <c r="C42" s="17" t="s">
        <v>312</v>
      </c>
      <c r="D42" s="17" t="s">
        <v>247</v>
      </c>
      <c r="E42" s="17" t="s">
        <v>228</v>
      </c>
      <c r="F42" s="17" t="s">
        <v>215</v>
      </c>
      <c r="G42" s="17" t="s">
        <v>214</v>
      </c>
      <c r="H42" s="17" t="s">
        <v>216</v>
      </c>
      <c r="I42" s="17" t="s">
        <v>217</v>
      </c>
      <c r="J42" s="17" t="s">
        <v>244</v>
      </c>
      <c r="K42" s="17" t="s">
        <v>248</v>
      </c>
    </row>
    <row r="43" customFormat="false" ht="15" hidden="false" customHeight="false" outlineLevel="0" collapsed="false">
      <c r="A43" s="17" t="s">
        <v>313</v>
      </c>
      <c r="B43" s="17" t="s">
        <v>85</v>
      </c>
      <c r="C43" s="17" t="s">
        <v>314</v>
      </c>
      <c r="D43" s="17" t="s">
        <v>251</v>
      </c>
      <c r="E43" s="17" t="s">
        <v>213</v>
      </c>
      <c r="F43" s="17" t="s">
        <v>214</v>
      </c>
      <c r="G43" s="17" t="s">
        <v>236</v>
      </c>
      <c r="H43" s="17" t="s">
        <v>216</v>
      </c>
      <c r="I43" s="17" t="s">
        <v>223</v>
      </c>
      <c r="J43" s="17" t="s">
        <v>224</v>
      </c>
      <c r="K43" s="17" t="s">
        <v>248</v>
      </c>
    </row>
    <row r="44" customFormat="false" ht="15" hidden="false" customHeight="false" outlineLevel="0" collapsed="false">
      <c r="A44" s="17" t="s">
        <v>315</v>
      </c>
      <c r="B44" s="17" t="s">
        <v>85</v>
      </c>
      <c r="C44" s="17" t="s">
        <v>316</v>
      </c>
      <c r="D44" s="17" t="s">
        <v>254</v>
      </c>
      <c r="E44" s="17" t="s">
        <v>213</v>
      </c>
      <c r="F44" s="17" t="s">
        <v>215</v>
      </c>
      <c r="G44" s="17" t="s">
        <v>236</v>
      </c>
      <c r="H44" s="17" t="s">
        <v>216</v>
      </c>
      <c r="I44" s="17" t="s">
        <v>223</v>
      </c>
      <c r="J44" s="17" t="s">
        <v>218</v>
      </c>
      <c r="K44" s="17" t="s">
        <v>248</v>
      </c>
    </row>
    <row r="45" customFormat="false" ht="15" hidden="false" customHeight="false" outlineLevel="0" collapsed="false">
      <c r="A45" s="17" t="s">
        <v>317</v>
      </c>
      <c r="B45" s="17" t="s">
        <v>85</v>
      </c>
      <c r="C45" s="17" t="s">
        <v>318</v>
      </c>
      <c r="D45" s="17" t="s">
        <v>257</v>
      </c>
      <c r="E45" s="17" t="s">
        <v>258</v>
      </c>
      <c r="F45" s="17" t="s">
        <v>236</v>
      </c>
      <c r="G45" s="17" t="s">
        <v>214</v>
      </c>
      <c r="H45" s="17" t="s">
        <v>216</v>
      </c>
      <c r="I45" s="17" t="s">
        <v>217</v>
      </c>
      <c r="J45" s="17" t="s">
        <v>244</v>
      </c>
      <c r="K45" s="17" t="s">
        <v>259</v>
      </c>
    </row>
    <row r="46" customFormat="false" ht="15" hidden="false" customHeight="false" outlineLevel="0" collapsed="false">
      <c r="A46" s="17" t="s">
        <v>319</v>
      </c>
      <c r="B46" s="17" t="s">
        <v>85</v>
      </c>
      <c r="C46" s="17" t="s">
        <v>320</v>
      </c>
      <c r="D46" s="17" t="s">
        <v>262</v>
      </c>
      <c r="E46" s="17" t="s">
        <v>258</v>
      </c>
      <c r="F46" s="17" t="s">
        <v>236</v>
      </c>
      <c r="G46" s="17" t="s">
        <v>214</v>
      </c>
      <c r="H46" s="17" t="s">
        <v>216</v>
      </c>
      <c r="I46" s="17" t="s">
        <v>217</v>
      </c>
      <c r="J46" s="17" t="s">
        <v>244</v>
      </c>
      <c r="K46" s="17" t="s">
        <v>259</v>
      </c>
    </row>
    <row r="47" customFormat="false" ht="15" hidden="false" customHeight="false" outlineLevel="0" collapsed="false">
      <c r="A47" s="22" t="s">
        <v>321</v>
      </c>
      <c r="B47" s="22" t="s">
        <v>85</v>
      </c>
      <c r="C47" s="22" t="str">
        <f aca="false">"Hat "&amp;Konfiguration!$B$5&amp;" ein gutes Angebot bei Schmerzmitteln?"</f>
        <v>Hat [Markenname] ein gutes Angebot bei Schmerzmitteln?</v>
      </c>
      <c r="D47" s="22" t="s">
        <v>264</v>
      </c>
      <c r="E47" s="22" t="s">
        <v>228</v>
      </c>
      <c r="F47" s="22" t="s">
        <v>236</v>
      </c>
      <c r="G47" s="22" t="s">
        <v>214</v>
      </c>
      <c r="H47" s="22" t="s">
        <v>265</v>
      </c>
      <c r="I47" s="22" t="s">
        <v>217</v>
      </c>
      <c r="J47" s="22" t="s">
        <v>244</v>
      </c>
      <c r="K47" s="22" t="s">
        <v>248</v>
      </c>
    </row>
    <row r="48" customFormat="false" ht="23.85" hidden="false" customHeight="false" outlineLevel="0" collapsed="false">
      <c r="A48" s="22" t="s">
        <v>322</v>
      </c>
      <c r="B48" s="22" t="s">
        <v>85</v>
      </c>
      <c r="C48" s="22" t="str">
        <f aca="false">"Was ist besser bei Schmerzmitteln, "&amp;Konfiguration!$B$5&amp;" oder "&amp;IF(Konfiguration!$A$17="","[Wettbewerber 1]",Konfiguration!$A$17)&amp;"?"</f>
        <v>Was ist besser bei Schmerzmitteln, [Markenname] oder Versandapotheke A?</v>
      </c>
      <c r="D48" s="22" t="s">
        <v>267</v>
      </c>
      <c r="E48" s="22" t="s">
        <v>228</v>
      </c>
      <c r="F48" s="22" t="s">
        <v>236</v>
      </c>
      <c r="G48" s="22" t="s">
        <v>214</v>
      </c>
      <c r="H48" s="22" t="s">
        <v>265</v>
      </c>
      <c r="I48" s="22" t="s">
        <v>217</v>
      </c>
      <c r="J48" s="22" t="s">
        <v>237</v>
      </c>
      <c r="K48" s="22" t="s">
        <v>229</v>
      </c>
    </row>
    <row r="49" customFormat="false" ht="23.85" hidden="false" customHeight="false" outlineLevel="0" collapsed="false">
      <c r="A49" s="22" t="s">
        <v>323</v>
      </c>
      <c r="B49" s="22" t="s">
        <v>85</v>
      </c>
      <c r="C49" s="22" t="str">
        <f aca="false">"Soll ich Schmerzmittel bei "&amp;Konfiguration!$B$5&amp;", in der Apotheke oder bei "&amp;IF(Konfiguration!$A$18="","[Wettbewerber 2]",Konfiguration!$A$18)&amp;" kaufen?"</f>
        <v>Soll ich Schmerzmittel bei [Markenname], in der Apotheke oder bei [Wettbewerber 2] kaufen?</v>
      </c>
      <c r="D49" s="22" t="s">
        <v>269</v>
      </c>
      <c r="E49" s="22" t="s">
        <v>258</v>
      </c>
      <c r="F49" s="22" t="s">
        <v>236</v>
      </c>
      <c r="G49" s="22" t="s">
        <v>214</v>
      </c>
      <c r="H49" s="22" t="s">
        <v>265</v>
      </c>
      <c r="I49" s="22" t="s">
        <v>217</v>
      </c>
      <c r="J49" s="22" t="s">
        <v>244</v>
      </c>
      <c r="K49" s="22" t="s">
        <v>229</v>
      </c>
    </row>
    <row r="50" customFormat="false" ht="15" hidden="false" customHeight="false" outlineLevel="0" collapsed="false">
      <c r="A50" s="17" t="s">
        <v>324</v>
      </c>
      <c r="B50" s="17" t="s">
        <v>88</v>
      </c>
      <c r="C50" s="17" t="s">
        <v>325</v>
      </c>
      <c r="D50" s="17" t="s">
        <v>212</v>
      </c>
      <c r="E50" s="17" t="s">
        <v>213</v>
      </c>
      <c r="F50" s="17" t="s">
        <v>214</v>
      </c>
      <c r="G50" s="17" t="s">
        <v>215</v>
      </c>
      <c r="H50" s="17" t="s">
        <v>216</v>
      </c>
      <c r="I50" s="17" t="s">
        <v>217</v>
      </c>
      <c r="J50" s="17" t="s">
        <v>218</v>
      </c>
      <c r="K50" s="17" t="s">
        <v>219</v>
      </c>
    </row>
    <row r="51" customFormat="false" ht="15" hidden="false" customHeight="false" outlineLevel="0" collapsed="false">
      <c r="A51" s="17" t="s">
        <v>326</v>
      </c>
      <c r="B51" s="17" t="s">
        <v>88</v>
      </c>
      <c r="C51" s="17" t="s">
        <v>327</v>
      </c>
      <c r="D51" s="17" t="s">
        <v>222</v>
      </c>
      <c r="E51" s="17" t="s">
        <v>213</v>
      </c>
      <c r="F51" s="17" t="s">
        <v>214</v>
      </c>
      <c r="G51" s="17" t="s">
        <v>215</v>
      </c>
      <c r="H51" s="17" t="s">
        <v>216</v>
      </c>
      <c r="I51" s="17" t="s">
        <v>223</v>
      </c>
      <c r="J51" s="17" t="s">
        <v>224</v>
      </c>
      <c r="K51" s="17" t="s">
        <v>219</v>
      </c>
    </row>
    <row r="52" customFormat="false" ht="15" hidden="false" customHeight="false" outlineLevel="0" collapsed="false">
      <c r="A52" s="17" t="s">
        <v>328</v>
      </c>
      <c r="B52" s="17" t="s">
        <v>88</v>
      </c>
      <c r="C52" s="17" t="s">
        <v>329</v>
      </c>
      <c r="D52" s="17" t="s">
        <v>227</v>
      </c>
      <c r="E52" s="17" t="s">
        <v>228</v>
      </c>
      <c r="F52" s="17" t="s">
        <v>215</v>
      </c>
      <c r="G52" s="17" t="s">
        <v>215</v>
      </c>
      <c r="H52" s="17" t="s">
        <v>216</v>
      </c>
      <c r="I52" s="17" t="s">
        <v>217</v>
      </c>
      <c r="J52" s="17" t="s">
        <v>218</v>
      </c>
      <c r="K52" s="17" t="s">
        <v>229</v>
      </c>
    </row>
    <row r="53" customFormat="false" ht="15" hidden="false" customHeight="false" outlineLevel="0" collapsed="false">
      <c r="A53" s="17" t="s">
        <v>330</v>
      </c>
      <c r="B53" s="17" t="s">
        <v>88</v>
      </c>
      <c r="C53" s="17" t="s">
        <v>331</v>
      </c>
      <c r="D53" s="17" t="s">
        <v>232</v>
      </c>
      <c r="E53" s="17" t="s">
        <v>228</v>
      </c>
      <c r="F53" s="17" t="s">
        <v>215</v>
      </c>
      <c r="G53" s="17" t="s">
        <v>214</v>
      </c>
      <c r="H53" s="17" t="s">
        <v>216</v>
      </c>
      <c r="I53" s="17" t="s">
        <v>217</v>
      </c>
      <c r="J53" s="17" t="s">
        <v>218</v>
      </c>
      <c r="K53" s="17" t="s">
        <v>229</v>
      </c>
    </row>
    <row r="54" customFormat="false" ht="15" hidden="false" customHeight="false" outlineLevel="0" collapsed="false">
      <c r="A54" s="17" t="s">
        <v>332</v>
      </c>
      <c r="B54" s="17" t="s">
        <v>88</v>
      </c>
      <c r="C54" s="17" t="s">
        <v>333</v>
      </c>
      <c r="D54" s="17" t="s">
        <v>235</v>
      </c>
      <c r="E54" s="17" t="s">
        <v>228</v>
      </c>
      <c r="F54" s="17" t="s">
        <v>236</v>
      </c>
      <c r="G54" s="17" t="s">
        <v>214</v>
      </c>
      <c r="H54" s="17" t="s">
        <v>216</v>
      </c>
      <c r="I54" s="17" t="s">
        <v>217</v>
      </c>
      <c r="J54" s="17" t="s">
        <v>237</v>
      </c>
      <c r="K54" s="17" t="s">
        <v>229</v>
      </c>
    </row>
    <row r="55" customFormat="false" ht="15" hidden="false" customHeight="false" outlineLevel="0" collapsed="false">
      <c r="A55" s="17" t="s">
        <v>334</v>
      </c>
      <c r="B55" s="17" t="s">
        <v>88</v>
      </c>
      <c r="C55" s="17" t="s">
        <v>335</v>
      </c>
      <c r="D55" s="17" t="s">
        <v>240</v>
      </c>
      <c r="E55" s="17" t="s">
        <v>228</v>
      </c>
      <c r="F55" s="17" t="s">
        <v>236</v>
      </c>
      <c r="G55" s="17" t="s">
        <v>214</v>
      </c>
      <c r="H55" s="17" t="s">
        <v>216</v>
      </c>
      <c r="I55" s="17" t="s">
        <v>217</v>
      </c>
      <c r="J55" s="17" t="s">
        <v>237</v>
      </c>
      <c r="K55" s="17" t="s">
        <v>229</v>
      </c>
    </row>
    <row r="56" customFormat="false" ht="15" hidden="false" customHeight="false" outlineLevel="0" collapsed="false">
      <c r="A56" s="17" t="s">
        <v>336</v>
      </c>
      <c r="B56" s="17" t="s">
        <v>88</v>
      </c>
      <c r="C56" s="17" t="s">
        <v>337</v>
      </c>
      <c r="D56" s="17" t="s">
        <v>243</v>
      </c>
      <c r="E56" s="17" t="s">
        <v>228</v>
      </c>
      <c r="F56" s="17" t="s">
        <v>236</v>
      </c>
      <c r="G56" s="17" t="s">
        <v>214</v>
      </c>
      <c r="H56" s="17" t="s">
        <v>216</v>
      </c>
      <c r="I56" s="17" t="s">
        <v>217</v>
      </c>
      <c r="J56" s="17" t="s">
        <v>244</v>
      </c>
      <c r="K56" s="17" t="s">
        <v>229</v>
      </c>
    </row>
    <row r="57" customFormat="false" ht="15" hidden="false" customHeight="false" outlineLevel="0" collapsed="false">
      <c r="A57" s="17" t="s">
        <v>338</v>
      </c>
      <c r="B57" s="17" t="s">
        <v>88</v>
      </c>
      <c r="C57" s="17" t="s">
        <v>339</v>
      </c>
      <c r="D57" s="17" t="s">
        <v>247</v>
      </c>
      <c r="E57" s="17" t="s">
        <v>228</v>
      </c>
      <c r="F57" s="17" t="s">
        <v>215</v>
      </c>
      <c r="G57" s="17" t="s">
        <v>214</v>
      </c>
      <c r="H57" s="17" t="s">
        <v>216</v>
      </c>
      <c r="I57" s="17" t="s">
        <v>217</v>
      </c>
      <c r="J57" s="17" t="s">
        <v>244</v>
      </c>
      <c r="K57" s="17" t="s">
        <v>248</v>
      </c>
    </row>
    <row r="58" customFormat="false" ht="15" hidden="false" customHeight="false" outlineLevel="0" collapsed="false">
      <c r="A58" s="17" t="s">
        <v>340</v>
      </c>
      <c r="B58" s="17" t="s">
        <v>88</v>
      </c>
      <c r="C58" s="17" t="s">
        <v>341</v>
      </c>
      <c r="D58" s="17" t="s">
        <v>251</v>
      </c>
      <c r="E58" s="17" t="s">
        <v>213</v>
      </c>
      <c r="F58" s="17" t="s">
        <v>214</v>
      </c>
      <c r="G58" s="17" t="s">
        <v>236</v>
      </c>
      <c r="H58" s="17" t="s">
        <v>216</v>
      </c>
      <c r="I58" s="17" t="s">
        <v>223</v>
      </c>
      <c r="J58" s="17" t="s">
        <v>224</v>
      </c>
      <c r="K58" s="17" t="s">
        <v>248</v>
      </c>
    </row>
    <row r="59" customFormat="false" ht="15" hidden="false" customHeight="false" outlineLevel="0" collapsed="false">
      <c r="A59" s="17" t="s">
        <v>342</v>
      </c>
      <c r="B59" s="17" t="s">
        <v>88</v>
      </c>
      <c r="C59" s="17" t="s">
        <v>343</v>
      </c>
      <c r="D59" s="17" t="s">
        <v>254</v>
      </c>
      <c r="E59" s="17" t="s">
        <v>213</v>
      </c>
      <c r="F59" s="17" t="s">
        <v>215</v>
      </c>
      <c r="G59" s="17" t="s">
        <v>236</v>
      </c>
      <c r="H59" s="17" t="s">
        <v>216</v>
      </c>
      <c r="I59" s="17" t="s">
        <v>223</v>
      </c>
      <c r="J59" s="17" t="s">
        <v>218</v>
      </c>
      <c r="K59" s="17" t="s">
        <v>248</v>
      </c>
    </row>
    <row r="60" customFormat="false" ht="15" hidden="false" customHeight="false" outlineLevel="0" collapsed="false">
      <c r="A60" s="17" t="s">
        <v>344</v>
      </c>
      <c r="B60" s="17" t="s">
        <v>88</v>
      </c>
      <c r="C60" s="17" t="s">
        <v>345</v>
      </c>
      <c r="D60" s="17" t="s">
        <v>257</v>
      </c>
      <c r="E60" s="17" t="s">
        <v>258</v>
      </c>
      <c r="F60" s="17" t="s">
        <v>236</v>
      </c>
      <c r="G60" s="17" t="s">
        <v>214</v>
      </c>
      <c r="H60" s="17" t="s">
        <v>216</v>
      </c>
      <c r="I60" s="17" t="s">
        <v>217</v>
      </c>
      <c r="J60" s="17" t="s">
        <v>244</v>
      </c>
      <c r="K60" s="17" t="s">
        <v>259</v>
      </c>
    </row>
    <row r="61" customFormat="false" ht="15" hidden="false" customHeight="false" outlineLevel="0" collapsed="false">
      <c r="A61" s="17" t="s">
        <v>346</v>
      </c>
      <c r="B61" s="17" t="s">
        <v>88</v>
      </c>
      <c r="C61" s="17" t="s">
        <v>347</v>
      </c>
      <c r="D61" s="17" t="s">
        <v>262</v>
      </c>
      <c r="E61" s="17" t="s">
        <v>258</v>
      </c>
      <c r="F61" s="17" t="s">
        <v>236</v>
      </c>
      <c r="G61" s="17" t="s">
        <v>214</v>
      </c>
      <c r="H61" s="17" t="s">
        <v>216</v>
      </c>
      <c r="I61" s="17" t="s">
        <v>217</v>
      </c>
      <c r="J61" s="17" t="s">
        <v>244</v>
      </c>
      <c r="K61" s="17" t="s">
        <v>259</v>
      </c>
    </row>
    <row r="62" customFormat="false" ht="15" hidden="false" customHeight="false" outlineLevel="0" collapsed="false">
      <c r="A62" s="22" t="s">
        <v>348</v>
      </c>
      <c r="B62" s="22" t="s">
        <v>88</v>
      </c>
      <c r="C62" s="22" t="str">
        <f aca="false">"Hat "&amp;Konfiguration!$B$5&amp;" ein gutes Angebot bei Schmerzgelen?"</f>
        <v>Hat [Markenname] ein gutes Angebot bei Schmerzgelen?</v>
      </c>
      <c r="D62" s="22" t="s">
        <v>264</v>
      </c>
      <c r="E62" s="22" t="s">
        <v>228</v>
      </c>
      <c r="F62" s="22" t="s">
        <v>236</v>
      </c>
      <c r="G62" s="22" t="s">
        <v>214</v>
      </c>
      <c r="H62" s="22" t="s">
        <v>265</v>
      </c>
      <c r="I62" s="22" t="s">
        <v>217</v>
      </c>
      <c r="J62" s="22" t="s">
        <v>244</v>
      </c>
      <c r="K62" s="22" t="s">
        <v>248</v>
      </c>
    </row>
    <row r="63" customFormat="false" ht="23.85" hidden="false" customHeight="false" outlineLevel="0" collapsed="false">
      <c r="A63" s="22" t="s">
        <v>349</v>
      </c>
      <c r="B63" s="22" t="s">
        <v>88</v>
      </c>
      <c r="C63" s="22" t="str">
        <f aca="false">"Was ist besser bei Schmerzgelen, "&amp;Konfiguration!$B$5&amp;" oder "&amp;IF(Konfiguration!$A$17="","[Wettbewerber 1]",Konfiguration!$A$17)&amp;"?"</f>
        <v>Was ist besser bei Schmerzgelen, [Markenname] oder Versandapotheke A?</v>
      </c>
      <c r="D63" s="22" t="s">
        <v>267</v>
      </c>
      <c r="E63" s="22" t="s">
        <v>228</v>
      </c>
      <c r="F63" s="22" t="s">
        <v>236</v>
      </c>
      <c r="G63" s="22" t="s">
        <v>214</v>
      </c>
      <c r="H63" s="22" t="s">
        <v>265</v>
      </c>
      <c r="I63" s="22" t="s">
        <v>217</v>
      </c>
      <c r="J63" s="22" t="s">
        <v>237</v>
      </c>
      <c r="K63" s="22" t="s">
        <v>229</v>
      </c>
    </row>
    <row r="64" customFormat="false" ht="23.85" hidden="false" customHeight="false" outlineLevel="0" collapsed="false">
      <c r="A64" s="22" t="s">
        <v>350</v>
      </c>
      <c r="B64" s="22" t="s">
        <v>88</v>
      </c>
      <c r="C64" s="22" t="str">
        <f aca="false">"Soll ich Schmerzgel bei "&amp;Konfiguration!$B$5&amp;", in der Apotheke oder bei "&amp;IF(Konfiguration!$A$18="","[Wettbewerber 2]",Konfiguration!$A$18)&amp;" kaufen?"</f>
        <v>Soll ich Schmerzgel bei [Markenname], in der Apotheke oder bei [Wettbewerber 2] kaufen?</v>
      </c>
      <c r="D64" s="22" t="s">
        <v>269</v>
      </c>
      <c r="E64" s="22" t="s">
        <v>258</v>
      </c>
      <c r="F64" s="22" t="s">
        <v>236</v>
      </c>
      <c r="G64" s="22" t="s">
        <v>214</v>
      </c>
      <c r="H64" s="22" t="s">
        <v>265</v>
      </c>
      <c r="I64" s="22" t="s">
        <v>217</v>
      </c>
      <c r="J64" s="22" t="s">
        <v>244</v>
      </c>
      <c r="K64" s="22" t="s">
        <v>229</v>
      </c>
    </row>
    <row r="65" customFormat="false" ht="15" hidden="false" customHeight="false" outlineLevel="0" collapsed="false">
      <c r="A65" s="17" t="s">
        <v>351</v>
      </c>
      <c r="B65" s="17" t="s">
        <v>91</v>
      </c>
      <c r="C65" s="17" t="s">
        <v>352</v>
      </c>
      <c r="D65" s="17" t="s">
        <v>212</v>
      </c>
      <c r="E65" s="17" t="s">
        <v>213</v>
      </c>
      <c r="F65" s="17" t="s">
        <v>214</v>
      </c>
      <c r="G65" s="17" t="s">
        <v>215</v>
      </c>
      <c r="H65" s="17" t="s">
        <v>216</v>
      </c>
      <c r="I65" s="17" t="s">
        <v>217</v>
      </c>
      <c r="J65" s="17" t="s">
        <v>218</v>
      </c>
      <c r="K65" s="17" t="s">
        <v>219</v>
      </c>
    </row>
    <row r="66" customFormat="false" ht="15" hidden="false" customHeight="false" outlineLevel="0" collapsed="false">
      <c r="A66" s="17" t="s">
        <v>353</v>
      </c>
      <c r="B66" s="17" t="s">
        <v>91</v>
      </c>
      <c r="C66" s="17" t="s">
        <v>354</v>
      </c>
      <c r="D66" s="17" t="s">
        <v>222</v>
      </c>
      <c r="E66" s="17" t="s">
        <v>213</v>
      </c>
      <c r="F66" s="17" t="s">
        <v>214</v>
      </c>
      <c r="G66" s="17" t="s">
        <v>215</v>
      </c>
      <c r="H66" s="17" t="s">
        <v>216</v>
      </c>
      <c r="I66" s="17" t="s">
        <v>223</v>
      </c>
      <c r="J66" s="17" t="s">
        <v>224</v>
      </c>
      <c r="K66" s="17" t="s">
        <v>219</v>
      </c>
    </row>
    <row r="67" customFormat="false" ht="23.85" hidden="false" customHeight="false" outlineLevel="0" collapsed="false">
      <c r="A67" s="17" t="s">
        <v>355</v>
      </c>
      <c r="B67" s="17" t="s">
        <v>91</v>
      </c>
      <c r="C67" s="17" t="s">
        <v>356</v>
      </c>
      <c r="D67" s="17" t="s">
        <v>227</v>
      </c>
      <c r="E67" s="17" t="s">
        <v>228</v>
      </c>
      <c r="F67" s="17" t="s">
        <v>215</v>
      </c>
      <c r="G67" s="17" t="s">
        <v>215</v>
      </c>
      <c r="H67" s="17" t="s">
        <v>216</v>
      </c>
      <c r="I67" s="17" t="s">
        <v>217</v>
      </c>
      <c r="J67" s="17" t="s">
        <v>218</v>
      </c>
      <c r="K67" s="17" t="s">
        <v>229</v>
      </c>
    </row>
    <row r="68" customFormat="false" ht="15" hidden="false" customHeight="false" outlineLevel="0" collapsed="false">
      <c r="A68" s="17" t="s">
        <v>357</v>
      </c>
      <c r="B68" s="17" t="s">
        <v>91</v>
      </c>
      <c r="C68" s="17" t="s">
        <v>358</v>
      </c>
      <c r="D68" s="17" t="s">
        <v>232</v>
      </c>
      <c r="E68" s="17" t="s">
        <v>228</v>
      </c>
      <c r="F68" s="17" t="s">
        <v>215</v>
      </c>
      <c r="G68" s="17" t="s">
        <v>214</v>
      </c>
      <c r="H68" s="17" t="s">
        <v>216</v>
      </c>
      <c r="I68" s="17" t="s">
        <v>217</v>
      </c>
      <c r="J68" s="17" t="s">
        <v>218</v>
      </c>
      <c r="K68" s="17" t="s">
        <v>229</v>
      </c>
    </row>
    <row r="69" customFormat="false" ht="15" hidden="false" customHeight="false" outlineLevel="0" collapsed="false">
      <c r="A69" s="17" t="s">
        <v>359</v>
      </c>
      <c r="B69" s="17" t="s">
        <v>91</v>
      </c>
      <c r="C69" s="17" t="s">
        <v>360</v>
      </c>
      <c r="D69" s="17" t="s">
        <v>235</v>
      </c>
      <c r="E69" s="17" t="s">
        <v>228</v>
      </c>
      <c r="F69" s="17" t="s">
        <v>236</v>
      </c>
      <c r="G69" s="17" t="s">
        <v>214</v>
      </c>
      <c r="H69" s="17" t="s">
        <v>216</v>
      </c>
      <c r="I69" s="17" t="s">
        <v>217</v>
      </c>
      <c r="J69" s="17" t="s">
        <v>237</v>
      </c>
      <c r="K69" s="17" t="s">
        <v>229</v>
      </c>
    </row>
    <row r="70" customFormat="false" ht="15" hidden="false" customHeight="false" outlineLevel="0" collapsed="false">
      <c r="A70" s="17" t="s">
        <v>361</v>
      </c>
      <c r="B70" s="17" t="s">
        <v>91</v>
      </c>
      <c r="C70" s="17" t="s">
        <v>362</v>
      </c>
      <c r="D70" s="17" t="s">
        <v>240</v>
      </c>
      <c r="E70" s="17" t="s">
        <v>228</v>
      </c>
      <c r="F70" s="17" t="s">
        <v>236</v>
      </c>
      <c r="G70" s="17" t="s">
        <v>214</v>
      </c>
      <c r="H70" s="17" t="s">
        <v>216</v>
      </c>
      <c r="I70" s="17" t="s">
        <v>217</v>
      </c>
      <c r="J70" s="17" t="s">
        <v>237</v>
      </c>
      <c r="K70" s="17" t="s">
        <v>229</v>
      </c>
    </row>
    <row r="71" customFormat="false" ht="15" hidden="false" customHeight="false" outlineLevel="0" collapsed="false">
      <c r="A71" s="17" t="s">
        <v>363</v>
      </c>
      <c r="B71" s="17" t="s">
        <v>91</v>
      </c>
      <c r="C71" s="17" t="s">
        <v>364</v>
      </c>
      <c r="D71" s="17" t="s">
        <v>243</v>
      </c>
      <c r="E71" s="17" t="s">
        <v>228</v>
      </c>
      <c r="F71" s="17" t="s">
        <v>236</v>
      </c>
      <c r="G71" s="17" t="s">
        <v>214</v>
      </c>
      <c r="H71" s="17" t="s">
        <v>216</v>
      </c>
      <c r="I71" s="17" t="s">
        <v>217</v>
      </c>
      <c r="J71" s="17" t="s">
        <v>244</v>
      </c>
      <c r="K71" s="17" t="s">
        <v>229</v>
      </c>
    </row>
    <row r="72" customFormat="false" ht="15" hidden="false" customHeight="false" outlineLevel="0" collapsed="false">
      <c r="A72" s="17" t="s">
        <v>365</v>
      </c>
      <c r="B72" s="17" t="s">
        <v>91</v>
      </c>
      <c r="C72" s="17" t="s">
        <v>366</v>
      </c>
      <c r="D72" s="17" t="s">
        <v>247</v>
      </c>
      <c r="E72" s="17" t="s">
        <v>228</v>
      </c>
      <c r="F72" s="17" t="s">
        <v>215</v>
      </c>
      <c r="G72" s="17" t="s">
        <v>214</v>
      </c>
      <c r="H72" s="17" t="s">
        <v>216</v>
      </c>
      <c r="I72" s="17" t="s">
        <v>217</v>
      </c>
      <c r="J72" s="17" t="s">
        <v>244</v>
      </c>
      <c r="K72" s="17" t="s">
        <v>248</v>
      </c>
    </row>
    <row r="73" customFormat="false" ht="15" hidden="false" customHeight="false" outlineLevel="0" collapsed="false">
      <c r="A73" s="17" t="s">
        <v>367</v>
      </c>
      <c r="B73" s="17" t="s">
        <v>91</v>
      </c>
      <c r="C73" s="17" t="s">
        <v>368</v>
      </c>
      <c r="D73" s="17" t="s">
        <v>251</v>
      </c>
      <c r="E73" s="17" t="s">
        <v>213</v>
      </c>
      <c r="F73" s="17" t="s">
        <v>214</v>
      </c>
      <c r="G73" s="17" t="s">
        <v>236</v>
      </c>
      <c r="H73" s="17" t="s">
        <v>216</v>
      </c>
      <c r="I73" s="17" t="s">
        <v>223</v>
      </c>
      <c r="J73" s="17" t="s">
        <v>224</v>
      </c>
      <c r="K73" s="17" t="s">
        <v>248</v>
      </c>
    </row>
    <row r="74" customFormat="false" ht="15" hidden="false" customHeight="false" outlineLevel="0" collapsed="false">
      <c r="A74" s="17" t="s">
        <v>369</v>
      </c>
      <c r="B74" s="17" t="s">
        <v>91</v>
      </c>
      <c r="C74" s="17" t="s">
        <v>370</v>
      </c>
      <c r="D74" s="17" t="s">
        <v>254</v>
      </c>
      <c r="E74" s="17" t="s">
        <v>213</v>
      </c>
      <c r="F74" s="17" t="s">
        <v>215</v>
      </c>
      <c r="G74" s="17" t="s">
        <v>236</v>
      </c>
      <c r="H74" s="17" t="s">
        <v>216</v>
      </c>
      <c r="I74" s="17" t="s">
        <v>223</v>
      </c>
      <c r="J74" s="17" t="s">
        <v>218</v>
      </c>
      <c r="K74" s="17" t="s">
        <v>248</v>
      </c>
    </row>
    <row r="75" customFormat="false" ht="15" hidden="false" customHeight="false" outlineLevel="0" collapsed="false">
      <c r="A75" s="17" t="s">
        <v>371</v>
      </c>
      <c r="B75" s="17" t="s">
        <v>91</v>
      </c>
      <c r="C75" s="17" t="s">
        <v>372</v>
      </c>
      <c r="D75" s="17" t="s">
        <v>257</v>
      </c>
      <c r="E75" s="17" t="s">
        <v>258</v>
      </c>
      <c r="F75" s="17" t="s">
        <v>236</v>
      </c>
      <c r="G75" s="17" t="s">
        <v>214</v>
      </c>
      <c r="H75" s="17" t="s">
        <v>216</v>
      </c>
      <c r="I75" s="17" t="s">
        <v>217</v>
      </c>
      <c r="J75" s="17" t="s">
        <v>244</v>
      </c>
      <c r="K75" s="17" t="s">
        <v>259</v>
      </c>
    </row>
    <row r="76" customFormat="false" ht="15" hidden="false" customHeight="false" outlineLevel="0" collapsed="false">
      <c r="A76" s="17" t="s">
        <v>373</v>
      </c>
      <c r="B76" s="17" t="s">
        <v>91</v>
      </c>
      <c r="C76" s="17" t="s">
        <v>374</v>
      </c>
      <c r="D76" s="17" t="s">
        <v>262</v>
      </c>
      <c r="E76" s="17" t="s">
        <v>258</v>
      </c>
      <c r="F76" s="17" t="s">
        <v>236</v>
      </c>
      <c r="G76" s="17" t="s">
        <v>214</v>
      </c>
      <c r="H76" s="17" t="s">
        <v>216</v>
      </c>
      <c r="I76" s="17" t="s">
        <v>217</v>
      </c>
      <c r="J76" s="17" t="s">
        <v>244</v>
      </c>
      <c r="K76" s="17" t="s">
        <v>259</v>
      </c>
    </row>
    <row r="77" customFormat="false" ht="15" hidden="false" customHeight="false" outlineLevel="0" collapsed="false">
      <c r="A77" s="22" t="s">
        <v>375</v>
      </c>
      <c r="B77" s="22" t="s">
        <v>91</v>
      </c>
      <c r="C77" s="22" t="str">
        <f aca="false">"Hat "&amp;Konfiguration!$B$5&amp;" ein gutes Angebot bei Magen-Darm-Mitteln?"</f>
        <v>Hat [Markenname] ein gutes Angebot bei Magen-Darm-Mitteln?</v>
      </c>
      <c r="D77" s="22" t="s">
        <v>264</v>
      </c>
      <c r="E77" s="22" t="s">
        <v>228</v>
      </c>
      <c r="F77" s="22" t="s">
        <v>236</v>
      </c>
      <c r="G77" s="22" t="s">
        <v>214</v>
      </c>
      <c r="H77" s="22" t="s">
        <v>265</v>
      </c>
      <c r="I77" s="22" t="s">
        <v>217</v>
      </c>
      <c r="J77" s="22" t="s">
        <v>244</v>
      </c>
      <c r="K77" s="22" t="s">
        <v>248</v>
      </c>
    </row>
    <row r="78" customFormat="false" ht="23.85" hidden="false" customHeight="false" outlineLevel="0" collapsed="false">
      <c r="A78" s="22" t="s">
        <v>376</v>
      </c>
      <c r="B78" s="22" t="s">
        <v>91</v>
      </c>
      <c r="C78" s="22" t="str">
        <f aca="false">"Was ist besser bei Magen-Darm-Mitteln, "&amp;Konfiguration!$B$5&amp;" oder "&amp;IF(Konfiguration!$A$17="","[Wettbewerber 1]",Konfiguration!$A$17)&amp;"?"</f>
        <v>Was ist besser bei Magen-Darm-Mitteln, [Markenname] oder Versandapotheke A?</v>
      </c>
      <c r="D78" s="22" t="s">
        <v>267</v>
      </c>
      <c r="E78" s="22" t="s">
        <v>228</v>
      </c>
      <c r="F78" s="22" t="s">
        <v>236</v>
      </c>
      <c r="G78" s="22" t="s">
        <v>214</v>
      </c>
      <c r="H78" s="22" t="s">
        <v>265</v>
      </c>
      <c r="I78" s="22" t="s">
        <v>217</v>
      </c>
      <c r="J78" s="22" t="s">
        <v>237</v>
      </c>
      <c r="K78" s="22" t="s">
        <v>229</v>
      </c>
    </row>
    <row r="79" customFormat="false" ht="23.85" hidden="false" customHeight="false" outlineLevel="0" collapsed="false">
      <c r="A79" s="22" t="s">
        <v>377</v>
      </c>
      <c r="B79" s="22" t="s">
        <v>91</v>
      </c>
      <c r="C79" s="22" t="str">
        <f aca="false">"Soll ich Magen-Darm-Mittel bei "&amp;Konfiguration!$B$5&amp;", in der Apotheke oder bei "&amp;IF(Konfiguration!$A$18="","[Wettbewerber 2]",Konfiguration!$A$18)&amp;" kaufen?"</f>
        <v>Soll ich Magen-Darm-Mittel bei [Markenname], in der Apotheke oder bei [Wettbewerber 2] kaufen?</v>
      </c>
      <c r="D79" s="22" t="s">
        <v>269</v>
      </c>
      <c r="E79" s="22" t="s">
        <v>258</v>
      </c>
      <c r="F79" s="22" t="s">
        <v>236</v>
      </c>
      <c r="G79" s="22" t="s">
        <v>214</v>
      </c>
      <c r="H79" s="22" t="s">
        <v>265</v>
      </c>
      <c r="I79" s="22" t="s">
        <v>217</v>
      </c>
      <c r="J79" s="22" t="s">
        <v>244</v>
      </c>
      <c r="K79" s="22" t="s">
        <v>229</v>
      </c>
    </row>
    <row r="80" customFormat="false" ht="15" hidden="false" customHeight="false" outlineLevel="0" collapsed="false">
      <c r="A80" s="17" t="s">
        <v>378</v>
      </c>
      <c r="B80" s="17" t="s">
        <v>94</v>
      </c>
      <c r="C80" s="17" t="s">
        <v>379</v>
      </c>
      <c r="D80" s="17" t="s">
        <v>212</v>
      </c>
      <c r="E80" s="17" t="s">
        <v>213</v>
      </c>
      <c r="F80" s="17" t="s">
        <v>214</v>
      </c>
      <c r="G80" s="17" t="s">
        <v>215</v>
      </c>
      <c r="H80" s="17" t="s">
        <v>216</v>
      </c>
      <c r="I80" s="17" t="s">
        <v>217</v>
      </c>
      <c r="J80" s="17" t="s">
        <v>218</v>
      </c>
      <c r="K80" s="17" t="s">
        <v>219</v>
      </c>
    </row>
    <row r="81" customFormat="false" ht="15" hidden="false" customHeight="false" outlineLevel="0" collapsed="false">
      <c r="A81" s="17" t="s">
        <v>380</v>
      </c>
      <c r="B81" s="17" t="s">
        <v>94</v>
      </c>
      <c r="C81" s="17" t="s">
        <v>381</v>
      </c>
      <c r="D81" s="17" t="s">
        <v>222</v>
      </c>
      <c r="E81" s="17" t="s">
        <v>213</v>
      </c>
      <c r="F81" s="17" t="s">
        <v>214</v>
      </c>
      <c r="G81" s="17" t="s">
        <v>215</v>
      </c>
      <c r="H81" s="17" t="s">
        <v>216</v>
      </c>
      <c r="I81" s="17" t="s">
        <v>223</v>
      </c>
      <c r="J81" s="17" t="s">
        <v>224</v>
      </c>
      <c r="K81" s="17" t="s">
        <v>219</v>
      </c>
    </row>
    <row r="82" customFormat="false" ht="15" hidden="false" customHeight="false" outlineLevel="0" collapsed="false">
      <c r="A82" s="17" t="s">
        <v>382</v>
      </c>
      <c r="B82" s="17" t="s">
        <v>94</v>
      </c>
      <c r="C82" s="17" t="s">
        <v>383</v>
      </c>
      <c r="D82" s="17" t="s">
        <v>227</v>
      </c>
      <c r="E82" s="17" t="s">
        <v>228</v>
      </c>
      <c r="F82" s="17" t="s">
        <v>215</v>
      </c>
      <c r="G82" s="17" t="s">
        <v>215</v>
      </c>
      <c r="H82" s="17" t="s">
        <v>216</v>
      </c>
      <c r="I82" s="17" t="s">
        <v>217</v>
      </c>
      <c r="J82" s="17" t="s">
        <v>218</v>
      </c>
      <c r="K82" s="17" t="s">
        <v>229</v>
      </c>
    </row>
    <row r="83" customFormat="false" ht="15" hidden="false" customHeight="false" outlineLevel="0" collapsed="false">
      <c r="A83" s="17" t="s">
        <v>384</v>
      </c>
      <c r="B83" s="17" t="s">
        <v>94</v>
      </c>
      <c r="C83" s="17" t="s">
        <v>385</v>
      </c>
      <c r="D83" s="17" t="s">
        <v>232</v>
      </c>
      <c r="E83" s="17" t="s">
        <v>228</v>
      </c>
      <c r="F83" s="17" t="s">
        <v>215</v>
      </c>
      <c r="G83" s="17" t="s">
        <v>214</v>
      </c>
      <c r="H83" s="17" t="s">
        <v>216</v>
      </c>
      <c r="I83" s="17" t="s">
        <v>217</v>
      </c>
      <c r="J83" s="17" t="s">
        <v>218</v>
      </c>
      <c r="K83" s="17" t="s">
        <v>229</v>
      </c>
    </row>
    <row r="84" customFormat="false" ht="15" hidden="false" customHeight="false" outlineLevel="0" collapsed="false">
      <c r="A84" s="17" t="s">
        <v>386</v>
      </c>
      <c r="B84" s="17" t="s">
        <v>94</v>
      </c>
      <c r="C84" s="17" t="s">
        <v>387</v>
      </c>
      <c r="D84" s="17" t="s">
        <v>235</v>
      </c>
      <c r="E84" s="17" t="s">
        <v>228</v>
      </c>
      <c r="F84" s="17" t="s">
        <v>236</v>
      </c>
      <c r="G84" s="17" t="s">
        <v>214</v>
      </c>
      <c r="H84" s="17" t="s">
        <v>216</v>
      </c>
      <c r="I84" s="17" t="s">
        <v>217</v>
      </c>
      <c r="J84" s="17" t="s">
        <v>237</v>
      </c>
      <c r="K84" s="17" t="s">
        <v>229</v>
      </c>
    </row>
    <row r="85" customFormat="false" ht="15" hidden="false" customHeight="false" outlineLevel="0" collapsed="false">
      <c r="A85" s="17" t="s">
        <v>388</v>
      </c>
      <c r="B85" s="17" t="s">
        <v>94</v>
      </c>
      <c r="C85" s="17" t="s">
        <v>389</v>
      </c>
      <c r="D85" s="17" t="s">
        <v>240</v>
      </c>
      <c r="E85" s="17" t="s">
        <v>228</v>
      </c>
      <c r="F85" s="17" t="s">
        <v>236</v>
      </c>
      <c r="G85" s="17" t="s">
        <v>214</v>
      </c>
      <c r="H85" s="17" t="s">
        <v>216</v>
      </c>
      <c r="I85" s="17" t="s">
        <v>217</v>
      </c>
      <c r="J85" s="17" t="s">
        <v>237</v>
      </c>
      <c r="K85" s="17" t="s">
        <v>229</v>
      </c>
    </row>
    <row r="86" customFormat="false" ht="15" hidden="false" customHeight="false" outlineLevel="0" collapsed="false">
      <c r="A86" s="17" t="s">
        <v>390</v>
      </c>
      <c r="B86" s="17" t="s">
        <v>94</v>
      </c>
      <c r="C86" s="17" t="s">
        <v>391</v>
      </c>
      <c r="D86" s="17" t="s">
        <v>243</v>
      </c>
      <c r="E86" s="17" t="s">
        <v>228</v>
      </c>
      <c r="F86" s="17" t="s">
        <v>236</v>
      </c>
      <c r="G86" s="17" t="s">
        <v>214</v>
      </c>
      <c r="H86" s="17" t="s">
        <v>216</v>
      </c>
      <c r="I86" s="17" t="s">
        <v>217</v>
      </c>
      <c r="J86" s="17" t="s">
        <v>244</v>
      </c>
      <c r="K86" s="17" t="s">
        <v>229</v>
      </c>
    </row>
    <row r="87" customFormat="false" ht="23.85" hidden="false" customHeight="false" outlineLevel="0" collapsed="false">
      <c r="A87" s="17" t="s">
        <v>392</v>
      </c>
      <c r="B87" s="17" t="s">
        <v>94</v>
      </c>
      <c r="C87" s="17" t="s">
        <v>393</v>
      </c>
      <c r="D87" s="17" t="s">
        <v>247</v>
      </c>
      <c r="E87" s="17" t="s">
        <v>228</v>
      </c>
      <c r="F87" s="17" t="s">
        <v>215</v>
      </c>
      <c r="G87" s="17" t="s">
        <v>214</v>
      </c>
      <c r="H87" s="17" t="s">
        <v>216</v>
      </c>
      <c r="I87" s="17" t="s">
        <v>217</v>
      </c>
      <c r="J87" s="17" t="s">
        <v>244</v>
      </c>
      <c r="K87" s="17" t="s">
        <v>248</v>
      </c>
    </row>
    <row r="88" customFormat="false" ht="15" hidden="false" customHeight="false" outlineLevel="0" collapsed="false">
      <c r="A88" s="17" t="s">
        <v>394</v>
      </c>
      <c r="B88" s="17" t="s">
        <v>94</v>
      </c>
      <c r="C88" s="17" t="s">
        <v>395</v>
      </c>
      <c r="D88" s="17" t="s">
        <v>251</v>
      </c>
      <c r="E88" s="17" t="s">
        <v>213</v>
      </c>
      <c r="F88" s="17" t="s">
        <v>214</v>
      </c>
      <c r="G88" s="17" t="s">
        <v>236</v>
      </c>
      <c r="H88" s="17" t="s">
        <v>216</v>
      </c>
      <c r="I88" s="17" t="s">
        <v>223</v>
      </c>
      <c r="J88" s="17" t="s">
        <v>224</v>
      </c>
      <c r="K88" s="17" t="s">
        <v>248</v>
      </c>
    </row>
    <row r="89" customFormat="false" ht="15" hidden="false" customHeight="false" outlineLevel="0" collapsed="false">
      <c r="A89" s="17" t="s">
        <v>396</v>
      </c>
      <c r="B89" s="17" t="s">
        <v>94</v>
      </c>
      <c r="C89" s="17" t="s">
        <v>397</v>
      </c>
      <c r="D89" s="17" t="s">
        <v>254</v>
      </c>
      <c r="E89" s="17" t="s">
        <v>213</v>
      </c>
      <c r="F89" s="17" t="s">
        <v>215</v>
      </c>
      <c r="G89" s="17" t="s">
        <v>236</v>
      </c>
      <c r="H89" s="17" t="s">
        <v>216</v>
      </c>
      <c r="I89" s="17" t="s">
        <v>223</v>
      </c>
      <c r="J89" s="17" t="s">
        <v>218</v>
      </c>
      <c r="K89" s="17" t="s">
        <v>248</v>
      </c>
    </row>
    <row r="90" customFormat="false" ht="15" hidden="false" customHeight="false" outlineLevel="0" collapsed="false">
      <c r="A90" s="17" t="s">
        <v>398</v>
      </c>
      <c r="B90" s="17" t="s">
        <v>94</v>
      </c>
      <c r="C90" s="17" t="s">
        <v>399</v>
      </c>
      <c r="D90" s="17" t="s">
        <v>257</v>
      </c>
      <c r="E90" s="17" t="s">
        <v>258</v>
      </c>
      <c r="F90" s="17" t="s">
        <v>236</v>
      </c>
      <c r="G90" s="17" t="s">
        <v>214</v>
      </c>
      <c r="H90" s="17" t="s">
        <v>216</v>
      </c>
      <c r="I90" s="17" t="s">
        <v>217</v>
      </c>
      <c r="J90" s="17" t="s">
        <v>244</v>
      </c>
      <c r="K90" s="17" t="s">
        <v>259</v>
      </c>
    </row>
    <row r="91" customFormat="false" ht="15" hidden="false" customHeight="false" outlineLevel="0" collapsed="false">
      <c r="A91" s="17" t="s">
        <v>400</v>
      </c>
      <c r="B91" s="17" t="s">
        <v>94</v>
      </c>
      <c r="C91" s="17" t="s">
        <v>401</v>
      </c>
      <c r="D91" s="17" t="s">
        <v>262</v>
      </c>
      <c r="E91" s="17" t="s">
        <v>258</v>
      </c>
      <c r="F91" s="17" t="s">
        <v>236</v>
      </c>
      <c r="G91" s="17" t="s">
        <v>214</v>
      </c>
      <c r="H91" s="17" t="s">
        <v>216</v>
      </c>
      <c r="I91" s="17" t="s">
        <v>217</v>
      </c>
      <c r="J91" s="17" t="s">
        <v>244</v>
      </c>
      <c r="K91" s="17" t="s">
        <v>259</v>
      </c>
    </row>
    <row r="92" customFormat="false" ht="15" hidden="false" customHeight="false" outlineLevel="0" collapsed="false">
      <c r="A92" s="22" t="s">
        <v>402</v>
      </c>
      <c r="B92" s="22" t="s">
        <v>94</v>
      </c>
      <c r="C92" s="22" t="str">
        <f aca="false">"Hat "&amp;Konfiguration!$B$5&amp;" ein gutes Angebot bei Vitaminen und Mineralstoffen?"</f>
        <v>Hat [Markenname] ein gutes Angebot bei Vitaminen und Mineralstoffen?</v>
      </c>
      <c r="D92" s="22" t="s">
        <v>264</v>
      </c>
      <c r="E92" s="22" t="s">
        <v>228</v>
      </c>
      <c r="F92" s="22" t="s">
        <v>236</v>
      </c>
      <c r="G92" s="22" t="s">
        <v>214</v>
      </c>
      <c r="H92" s="22" t="s">
        <v>265</v>
      </c>
      <c r="I92" s="22" t="s">
        <v>217</v>
      </c>
      <c r="J92" s="22" t="s">
        <v>244</v>
      </c>
      <c r="K92" s="22" t="s">
        <v>248</v>
      </c>
    </row>
    <row r="93" customFormat="false" ht="23.85" hidden="false" customHeight="false" outlineLevel="0" collapsed="false">
      <c r="A93" s="22" t="s">
        <v>403</v>
      </c>
      <c r="B93" s="22" t="s">
        <v>94</v>
      </c>
      <c r="C93" s="22" t="str">
        <f aca="false">"Was ist besser bei Vitaminen und Mineralstoffen, "&amp;Konfiguration!$B$5&amp;" oder "&amp;IF(Konfiguration!$A$17="","[Wettbewerber 1]",Konfiguration!$A$17)&amp;"?"</f>
        <v>Was ist besser bei Vitaminen und Mineralstoffen, [Markenname] oder Versandapotheke A?</v>
      </c>
      <c r="D93" s="22" t="s">
        <v>267</v>
      </c>
      <c r="E93" s="22" t="s">
        <v>228</v>
      </c>
      <c r="F93" s="22" t="s">
        <v>236</v>
      </c>
      <c r="G93" s="22" t="s">
        <v>214</v>
      </c>
      <c r="H93" s="22" t="s">
        <v>265</v>
      </c>
      <c r="I93" s="22" t="s">
        <v>217</v>
      </c>
      <c r="J93" s="22" t="s">
        <v>237</v>
      </c>
      <c r="K93" s="22" t="s">
        <v>229</v>
      </c>
    </row>
    <row r="94" customFormat="false" ht="23.85" hidden="false" customHeight="false" outlineLevel="0" collapsed="false">
      <c r="A94" s="22" t="s">
        <v>404</v>
      </c>
      <c r="B94" s="22" t="s">
        <v>94</v>
      </c>
      <c r="C94" s="22" t="str">
        <f aca="false">"Soll ich Vitamine und Mineralstoffe bei "&amp;Konfiguration!$B$5&amp;", in der Apotheke oder bei "&amp;IF(Konfiguration!$A$18="","[Wettbewerber 2]",Konfiguration!$A$18)&amp;" kaufen?"</f>
        <v>Soll ich Vitamine und Mineralstoffe bei [Markenname], in der Apotheke oder bei [Wettbewerber 2] kaufen?</v>
      </c>
      <c r="D94" s="22" t="s">
        <v>269</v>
      </c>
      <c r="E94" s="22" t="s">
        <v>258</v>
      </c>
      <c r="F94" s="22" t="s">
        <v>236</v>
      </c>
      <c r="G94" s="22" t="s">
        <v>214</v>
      </c>
      <c r="H94" s="22" t="s">
        <v>265</v>
      </c>
      <c r="I94" s="22" t="s">
        <v>217</v>
      </c>
      <c r="J94" s="22" t="s">
        <v>244</v>
      </c>
      <c r="K94" s="22" t="s">
        <v>229</v>
      </c>
    </row>
    <row r="95" customFormat="false" ht="15" hidden="false" customHeight="false" outlineLevel="0" collapsed="false">
      <c r="A95" s="17" t="s">
        <v>405</v>
      </c>
      <c r="B95" s="17" t="s">
        <v>97</v>
      </c>
      <c r="C95" s="17" t="s">
        <v>406</v>
      </c>
      <c r="D95" s="17" t="s">
        <v>212</v>
      </c>
      <c r="E95" s="17" t="s">
        <v>213</v>
      </c>
      <c r="F95" s="17" t="s">
        <v>214</v>
      </c>
      <c r="G95" s="17" t="s">
        <v>215</v>
      </c>
      <c r="H95" s="17" t="s">
        <v>216</v>
      </c>
      <c r="I95" s="17" t="s">
        <v>217</v>
      </c>
      <c r="J95" s="17" t="s">
        <v>218</v>
      </c>
      <c r="K95" s="17" t="s">
        <v>219</v>
      </c>
    </row>
    <row r="96" customFormat="false" ht="15" hidden="false" customHeight="false" outlineLevel="0" collapsed="false">
      <c r="A96" s="17" t="s">
        <v>407</v>
      </c>
      <c r="B96" s="17" t="s">
        <v>97</v>
      </c>
      <c r="C96" s="17" t="s">
        <v>408</v>
      </c>
      <c r="D96" s="17" t="s">
        <v>222</v>
      </c>
      <c r="E96" s="17" t="s">
        <v>213</v>
      </c>
      <c r="F96" s="17" t="s">
        <v>214</v>
      </c>
      <c r="G96" s="17" t="s">
        <v>215</v>
      </c>
      <c r="H96" s="17" t="s">
        <v>216</v>
      </c>
      <c r="I96" s="17" t="s">
        <v>223</v>
      </c>
      <c r="J96" s="17" t="s">
        <v>224</v>
      </c>
      <c r="K96" s="17" t="s">
        <v>219</v>
      </c>
    </row>
    <row r="97" customFormat="false" ht="15" hidden="false" customHeight="false" outlineLevel="0" collapsed="false">
      <c r="A97" s="17" t="s">
        <v>409</v>
      </c>
      <c r="B97" s="17" t="s">
        <v>97</v>
      </c>
      <c r="C97" s="17" t="s">
        <v>410</v>
      </c>
      <c r="D97" s="17" t="s">
        <v>227</v>
      </c>
      <c r="E97" s="17" t="s">
        <v>228</v>
      </c>
      <c r="F97" s="17" t="s">
        <v>215</v>
      </c>
      <c r="G97" s="17" t="s">
        <v>215</v>
      </c>
      <c r="H97" s="17" t="s">
        <v>216</v>
      </c>
      <c r="I97" s="17" t="s">
        <v>217</v>
      </c>
      <c r="J97" s="17" t="s">
        <v>218</v>
      </c>
      <c r="K97" s="17" t="s">
        <v>229</v>
      </c>
    </row>
    <row r="98" customFormat="false" ht="15" hidden="false" customHeight="false" outlineLevel="0" collapsed="false">
      <c r="A98" s="17" t="s">
        <v>411</v>
      </c>
      <c r="B98" s="17" t="s">
        <v>97</v>
      </c>
      <c r="C98" s="17" t="s">
        <v>412</v>
      </c>
      <c r="D98" s="17" t="s">
        <v>232</v>
      </c>
      <c r="E98" s="17" t="s">
        <v>228</v>
      </c>
      <c r="F98" s="17" t="s">
        <v>215</v>
      </c>
      <c r="G98" s="17" t="s">
        <v>214</v>
      </c>
      <c r="H98" s="17" t="s">
        <v>216</v>
      </c>
      <c r="I98" s="17" t="s">
        <v>217</v>
      </c>
      <c r="J98" s="17" t="s">
        <v>218</v>
      </c>
      <c r="K98" s="17" t="s">
        <v>229</v>
      </c>
    </row>
    <row r="99" customFormat="false" ht="15" hidden="false" customHeight="false" outlineLevel="0" collapsed="false">
      <c r="A99" s="17" t="s">
        <v>413</v>
      </c>
      <c r="B99" s="17" t="s">
        <v>97</v>
      </c>
      <c r="C99" s="17" t="s">
        <v>414</v>
      </c>
      <c r="D99" s="17" t="s">
        <v>235</v>
      </c>
      <c r="E99" s="17" t="s">
        <v>228</v>
      </c>
      <c r="F99" s="17" t="s">
        <v>236</v>
      </c>
      <c r="G99" s="17" t="s">
        <v>214</v>
      </c>
      <c r="H99" s="17" t="s">
        <v>216</v>
      </c>
      <c r="I99" s="17" t="s">
        <v>217</v>
      </c>
      <c r="J99" s="17" t="s">
        <v>237</v>
      </c>
      <c r="K99" s="17" t="s">
        <v>229</v>
      </c>
    </row>
    <row r="100" customFormat="false" ht="15" hidden="false" customHeight="false" outlineLevel="0" collapsed="false">
      <c r="A100" s="17" t="s">
        <v>415</v>
      </c>
      <c r="B100" s="17" t="s">
        <v>97</v>
      </c>
      <c r="C100" s="17" t="s">
        <v>416</v>
      </c>
      <c r="D100" s="17" t="s">
        <v>240</v>
      </c>
      <c r="E100" s="17" t="s">
        <v>228</v>
      </c>
      <c r="F100" s="17" t="s">
        <v>236</v>
      </c>
      <c r="G100" s="17" t="s">
        <v>214</v>
      </c>
      <c r="H100" s="17" t="s">
        <v>216</v>
      </c>
      <c r="I100" s="17" t="s">
        <v>217</v>
      </c>
      <c r="J100" s="17" t="s">
        <v>237</v>
      </c>
      <c r="K100" s="17" t="s">
        <v>229</v>
      </c>
    </row>
    <row r="101" customFormat="false" ht="15" hidden="false" customHeight="false" outlineLevel="0" collapsed="false">
      <c r="A101" s="17" t="s">
        <v>417</v>
      </c>
      <c r="B101" s="17" t="s">
        <v>97</v>
      </c>
      <c r="C101" s="17" t="s">
        <v>418</v>
      </c>
      <c r="D101" s="17" t="s">
        <v>243</v>
      </c>
      <c r="E101" s="17" t="s">
        <v>228</v>
      </c>
      <c r="F101" s="17" t="s">
        <v>236</v>
      </c>
      <c r="G101" s="17" t="s">
        <v>214</v>
      </c>
      <c r="H101" s="17" t="s">
        <v>216</v>
      </c>
      <c r="I101" s="17" t="s">
        <v>217</v>
      </c>
      <c r="J101" s="17" t="s">
        <v>244</v>
      </c>
      <c r="K101" s="17" t="s">
        <v>229</v>
      </c>
    </row>
    <row r="102" customFormat="false" ht="15" hidden="false" customHeight="false" outlineLevel="0" collapsed="false">
      <c r="A102" s="17" t="s">
        <v>419</v>
      </c>
      <c r="B102" s="17" t="s">
        <v>97</v>
      </c>
      <c r="C102" s="17" t="s">
        <v>420</v>
      </c>
      <c r="D102" s="17" t="s">
        <v>247</v>
      </c>
      <c r="E102" s="17" t="s">
        <v>228</v>
      </c>
      <c r="F102" s="17" t="s">
        <v>215</v>
      </c>
      <c r="G102" s="17" t="s">
        <v>214</v>
      </c>
      <c r="H102" s="17" t="s">
        <v>216</v>
      </c>
      <c r="I102" s="17" t="s">
        <v>217</v>
      </c>
      <c r="J102" s="17" t="s">
        <v>244</v>
      </c>
      <c r="K102" s="17" t="s">
        <v>248</v>
      </c>
    </row>
    <row r="103" customFormat="false" ht="15" hidden="false" customHeight="false" outlineLevel="0" collapsed="false">
      <c r="A103" s="17" t="s">
        <v>421</v>
      </c>
      <c r="B103" s="17" t="s">
        <v>97</v>
      </c>
      <c r="C103" s="17" t="s">
        <v>422</v>
      </c>
      <c r="D103" s="17" t="s">
        <v>251</v>
      </c>
      <c r="E103" s="17" t="s">
        <v>213</v>
      </c>
      <c r="F103" s="17" t="s">
        <v>214</v>
      </c>
      <c r="G103" s="17" t="s">
        <v>236</v>
      </c>
      <c r="H103" s="17" t="s">
        <v>216</v>
      </c>
      <c r="I103" s="17" t="s">
        <v>223</v>
      </c>
      <c r="J103" s="17" t="s">
        <v>224</v>
      </c>
      <c r="K103" s="17" t="s">
        <v>248</v>
      </c>
    </row>
    <row r="104" customFormat="false" ht="15" hidden="false" customHeight="false" outlineLevel="0" collapsed="false">
      <c r="A104" s="17" t="s">
        <v>423</v>
      </c>
      <c r="B104" s="17" t="s">
        <v>97</v>
      </c>
      <c r="C104" s="17" t="s">
        <v>424</v>
      </c>
      <c r="D104" s="17" t="s">
        <v>254</v>
      </c>
      <c r="E104" s="17" t="s">
        <v>213</v>
      </c>
      <c r="F104" s="17" t="s">
        <v>215</v>
      </c>
      <c r="G104" s="17" t="s">
        <v>236</v>
      </c>
      <c r="H104" s="17" t="s">
        <v>216</v>
      </c>
      <c r="I104" s="17" t="s">
        <v>223</v>
      </c>
      <c r="J104" s="17" t="s">
        <v>218</v>
      </c>
      <c r="K104" s="17" t="s">
        <v>248</v>
      </c>
    </row>
    <row r="105" customFormat="false" ht="15" hidden="false" customHeight="false" outlineLevel="0" collapsed="false">
      <c r="A105" s="17" t="s">
        <v>425</v>
      </c>
      <c r="B105" s="17" t="s">
        <v>97</v>
      </c>
      <c r="C105" s="17" t="s">
        <v>426</v>
      </c>
      <c r="D105" s="17" t="s">
        <v>257</v>
      </c>
      <c r="E105" s="17" t="s">
        <v>258</v>
      </c>
      <c r="F105" s="17" t="s">
        <v>236</v>
      </c>
      <c r="G105" s="17" t="s">
        <v>214</v>
      </c>
      <c r="H105" s="17" t="s">
        <v>216</v>
      </c>
      <c r="I105" s="17" t="s">
        <v>217</v>
      </c>
      <c r="J105" s="17" t="s">
        <v>244</v>
      </c>
      <c r="K105" s="17" t="s">
        <v>259</v>
      </c>
    </row>
    <row r="106" customFormat="false" ht="15" hidden="false" customHeight="false" outlineLevel="0" collapsed="false">
      <c r="A106" s="17" t="s">
        <v>427</v>
      </c>
      <c r="B106" s="17" t="s">
        <v>97</v>
      </c>
      <c r="C106" s="17" t="s">
        <v>428</v>
      </c>
      <c r="D106" s="17" t="s">
        <v>262</v>
      </c>
      <c r="E106" s="17" t="s">
        <v>258</v>
      </c>
      <c r="F106" s="17" t="s">
        <v>236</v>
      </c>
      <c r="G106" s="17" t="s">
        <v>214</v>
      </c>
      <c r="H106" s="17" t="s">
        <v>216</v>
      </c>
      <c r="I106" s="17" t="s">
        <v>217</v>
      </c>
      <c r="J106" s="17" t="s">
        <v>244</v>
      </c>
      <c r="K106" s="17" t="s">
        <v>259</v>
      </c>
    </row>
    <row r="107" customFormat="false" ht="15" hidden="false" customHeight="false" outlineLevel="0" collapsed="false">
      <c r="A107" s="22" t="s">
        <v>429</v>
      </c>
      <c r="B107" s="22" t="s">
        <v>97</v>
      </c>
      <c r="C107" s="22" t="str">
        <f aca="false">"Hat "&amp;Konfiguration!$B$5&amp;" ein gutes Angebot bei Allergiemitteln?"</f>
        <v>Hat [Markenname] ein gutes Angebot bei Allergiemitteln?</v>
      </c>
      <c r="D107" s="22" t="s">
        <v>264</v>
      </c>
      <c r="E107" s="22" t="s">
        <v>228</v>
      </c>
      <c r="F107" s="22" t="s">
        <v>236</v>
      </c>
      <c r="G107" s="22" t="s">
        <v>214</v>
      </c>
      <c r="H107" s="22" t="s">
        <v>265</v>
      </c>
      <c r="I107" s="22" t="s">
        <v>217</v>
      </c>
      <c r="J107" s="22" t="s">
        <v>244</v>
      </c>
      <c r="K107" s="22" t="s">
        <v>248</v>
      </c>
    </row>
    <row r="108" customFormat="false" ht="23.85" hidden="false" customHeight="false" outlineLevel="0" collapsed="false">
      <c r="A108" s="22" t="s">
        <v>430</v>
      </c>
      <c r="B108" s="22" t="s">
        <v>97</v>
      </c>
      <c r="C108" s="22" t="str">
        <f aca="false">"Was ist besser bei Allergiemitteln, "&amp;Konfiguration!$B$5&amp;" oder "&amp;IF(Konfiguration!$A$17="","[Wettbewerber 1]",Konfiguration!$A$17)&amp;"?"</f>
        <v>Was ist besser bei Allergiemitteln, [Markenname] oder Versandapotheke A?</v>
      </c>
      <c r="D108" s="22" t="s">
        <v>267</v>
      </c>
      <c r="E108" s="22" t="s">
        <v>228</v>
      </c>
      <c r="F108" s="22" t="s">
        <v>236</v>
      </c>
      <c r="G108" s="22" t="s">
        <v>214</v>
      </c>
      <c r="H108" s="22" t="s">
        <v>265</v>
      </c>
      <c r="I108" s="22" t="s">
        <v>217</v>
      </c>
      <c r="J108" s="22" t="s">
        <v>237</v>
      </c>
      <c r="K108" s="22" t="s">
        <v>229</v>
      </c>
    </row>
    <row r="109" customFormat="false" ht="23.85" hidden="false" customHeight="false" outlineLevel="0" collapsed="false">
      <c r="A109" s="22" t="s">
        <v>431</v>
      </c>
      <c r="B109" s="22" t="s">
        <v>97</v>
      </c>
      <c r="C109" s="22" t="str">
        <f aca="false">"Soll ich Allergiemittel bei "&amp;Konfiguration!$B$5&amp;", in der Apotheke oder bei "&amp;IF(Konfiguration!$A$18="","[Wettbewerber 2]",Konfiguration!$A$18)&amp;" kaufen?"</f>
        <v>Soll ich Allergiemittel bei [Markenname], in der Apotheke oder bei [Wettbewerber 2] kaufen?</v>
      </c>
      <c r="D109" s="22" t="s">
        <v>269</v>
      </c>
      <c r="E109" s="22" t="s">
        <v>258</v>
      </c>
      <c r="F109" s="22" t="s">
        <v>236</v>
      </c>
      <c r="G109" s="22" t="s">
        <v>214</v>
      </c>
      <c r="H109" s="22" t="s">
        <v>265</v>
      </c>
      <c r="I109" s="22" t="s">
        <v>217</v>
      </c>
      <c r="J109" s="22" t="s">
        <v>244</v>
      </c>
      <c r="K109" s="22" t="s">
        <v>229</v>
      </c>
    </row>
    <row r="110" customFormat="false" ht="15" hidden="false" customHeight="false" outlineLevel="0" collapsed="false">
      <c r="A110" s="17" t="s">
        <v>432</v>
      </c>
      <c r="B110" s="17" t="s">
        <v>100</v>
      </c>
      <c r="C110" s="17" t="s">
        <v>433</v>
      </c>
      <c r="D110" s="17" t="s">
        <v>212</v>
      </c>
      <c r="E110" s="17" t="s">
        <v>213</v>
      </c>
      <c r="F110" s="17" t="s">
        <v>214</v>
      </c>
      <c r="G110" s="17" t="s">
        <v>215</v>
      </c>
      <c r="H110" s="17" t="s">
        <v>216</v>
      </c>
      <c r="I110" s="17" t="s">
        <v>217</v>
      </c>
      <c r="J110" s="17" t="s">
        <v>218</v>
      </c>
      <c r="K110" s="17" t="s">
        <v>219</v>
      </c>
    </row>
    <row r="111" customFormat="false" ht="15" hidden="false" customHeight="false" outlineLevel="0" collapsed="false">
      <c r="A111" s="17" t="s">
        <v>434</v>
      </c>
      <c r="B111" s="17" t="s">
        <v>100</v>
      </c>
      <c r="C111" s="17" t="s">
        <v>435</v>
      </c>
      <c r="D111" s="17" t="s">
        <v>222</v>
      </c>
      <c r="E111" s="17" t="s">
        <v>213</v>
      </c>
      <c r="F111" s="17" t="s">
        <v>214</v>
      </c>
      <c r="G111" s="17" t="s">
        <v>215</v>
      </c>
      <c r="H111" s="17" t="s">
        <v>216</v>
      </c>
      <c r="I111" s="17" t="s">
        <v>223</v>
      </c>
      <c r="J111" s="17" t="s">
        <v>224</v>
      </c>
      <c r="K111" s="17" t="s">
        <v>219</v>
      </c>
    </row>
    <row r="112" customFormat="false" ht="15" hidden="false" customHeight="false" outlineLevel="0" collapsed="false">
      <c r="A112" s="17" t="s">
        <v>436</v>
      </c>
      <c r="B112" s="17" t="s">
        <v>100</v>
      </c>
      <c r="C112" s="17" t="s">
        <v>437</v>
      </c>
      <c r="D112" s="17" t="s">
        <v>227</v>
      </c>
      <c r="E112" s="17" t="s">
        <v>228</v>
      </c>
      <c r="F112" s="17" t="s">
        <v>215</v>
      </c>
      <c r="G112" s="17" t="s">
        <v>215</v>
      </c>
      <c r="H112" s="17" t="s">
        <v>216</v>
      </c>
      <c r="I112" s="17" t="s">
        <v>217</v>
      </c>
      <c r="J112" s="17" t="s">
        <v>218</v>
      </c>
      <c r="K112" s="17" t="s">
        <v>229</v>
      </c>
    </row>
    <row r="113" customFormat="false" ht="15" hidden="false" customHeight="false" outlineLevel="0" collapsed="false">
      <c r="A113" s="17" t="s">
        <v>438</v>
      </c>
      <c r="B113" s="17" t="s">
        <v>100</v>
      </c>
      <c r="C113" s="17" t="s">
        <v>439</v>
      </c>
      <c r="D113" s="17" t="s">
        <v>232</v>
      </c>
      <c r="E113" s="17" t="s">
        <v>228</v>
      </c>
      <c r="F113" s="17" t="s">
        <v>215</v>
      </c>
      <c r="G113" s="17" t="s">
        <v>214</v>
      </c>
      <c r="H113" s="17" t="s">
        <v>216</v>
      </c>
      <c r="I113" s="17" t="s">
        <v>217</v>
      </c>
      <c r="J113" s="17" t="s">
        <v>218</v>
      </c>
      <c r="K113" s="17" t="s">
        <v>229</v>
      </c>
    </row>
    <row r="114" customFormat="false" ht="15" hidden="false" customHeight="false" outlineLevel="0" collapsed="false">
      <c r="A114" s="17" t="s">
        <v>440</v>
      </c>
      <c r="B114" s="17" t="s">
        <v>100</v>
      </c>
      <c r="C114" s="17" t="s">
        <v>441</v>
      </c>
      <c r="D114" s="17" t="s">
        <v>235</v>
      </c>
      <c r="E114" s="17" t="s">
        <v>228</v>
      </c>
      <c r="F114" s="17" t="s">
        <v>236</v>
      </c>
      <c r="G114" s="17" t="s">
        <v>214</v>
      </c>
      <c r="H114" s="17" t="s">
        <v>216</v>
      </c>
      <c r="I114" s="17" t="s">
        <v>217</v>
      </c>
      <c r="J114" s="17" t="s">
        <v>237</v>
      </c>
      <c r="K114" s="17" t="s">
        <v>229</v>
      </c>
    </row>
    <row r="115" customFormat="false" ht="15" hidden="false" customHeight="false" outlineLevel="0" collapsed="false">
      <c r="A115" s="17" t="s">
        <v>442</v>
      </c>
      <c r="B115" s="17" t="s">
        <v>100</v>
      </c>
      <c r="C115" s="17" t="s">
        <v>443</v>
      </c>
      <c r="D115" s="17" t="s">
        <v>240</v>
      </c>
      <c r="E115" s="17" t="s">
        <v>228</v>
      </c>
      <c r="F115" s="17" t="s">
        <v>236</v>
      </c>
      <c r="G115" s="17" t="s">
        <v>214</v>
      </c>
      <c r="H115" s="17" t="s">
        <v>216</v>
      </c>
      <c r="I115" s="17" t="s">
        <v>217</v>
      </c>
      <c r="J115" s="17" t="s">
        <v>237</v>
      </c>
      <c r="K115" s="17" t="s">
        <v>229</v>
      </c>
    </row>
    <row r="116" customFormat="false" ht="15" hidden="false" customHeight="false" outlineLevel="0" collapsed="false">
      <c r="A116" s="17" t="s">
        <v>444</v>
      </c>
      <c r="B116" s="17" t="s">
        <v>100</v>
      </c>
      <c r="C116" s="17" t="s">
        <v>445</v>
      </c>
      <c r="D116" s="17" t="s">
        <v>243</v>
      </c>
      <c r="E116" s="17" t="s">
        <v>228</v>
      </c>
      <c r="F116" s="17" t="s">
        <v>236</v>
      </c>
      <c r="G116" s="17" t="s">
        <v>214</v>
      </c>
      <c r="H116" s="17" t="s">
        <v>216</v>
      </c>
      <c r="I116" s="17" t="s">
        <v>217</v>
      </c>
      <c r="J116" s="17" t="s">
        <v>244</v>
      </c>
      <c r="K116" s="17" t="s">
        <v>229</v>
      </c>
    </row>
    <row r="117" customFormat="false" ht="15" hidden="false" customHeight="false" outlineLevel="0" collapsed="false">
      <c r="A117" s="17" t="s">
        <v>446</v>
      </c>
      <c r="B117" s="17" t="s">
        <v>100</v>
      </c>
      <c r="C117" s="17" t="s">
        <v>447</v>
      </c>
      <c r="D117" s="17" t="s">
        <v>247</v>
      </c>
      <c r="E117" s="17" t="s">
        <v>228</v>
      </c>
      <c r="F117" s="17" t="s">
        <v>215</v>
      </c>
      <c r="G117" s="17" t="s">
        <v>214</v>
      </c>
      <c r="H117" s="17" t="s">
        <v>216</v>
      </c>
      <c r="I117" s="17" t="s">
        <v>217</v>
      </c>
      <c r="J117" s="17" t="s">
        <v>244</v>
      </c>
      <c r="K117" s="17" t="s">
        <v>248</v>
      </c>
    </row>
    <row r="118" customFormat="false" ht="15" hidden="false" customHeight="false" outlineLevel="0" collapsed="false">
      <c r="A118" s="17" t="s">
        <v>448</v>
      </c>
      <c r="B118" s="17" t="s">
        <v>100</v>
      </c>
      <c r="C118" s="17" t="s">
        <v>449</v>
      </c>
      <c r="D118" s="17" t="s">
        <v>251</v>
      </c>
      <c r="E118" s="17" t="s">
        <v>213</v>
      </c>
      <c r="F118" s="17" t="s">
        <v>214</v>
      </c>
      <c r="G118" s="17" t="s">
        <v>236</v>
      </c>
      <c r="H118" s="17" t="s">
        <v>216</v>
      </c>
      <c r="I118" s="17" t="s">
        <v>223</v>
      </c>
      <c r="J118" s="17" t="s">
        <v>224</v>
      </c>
      <c r="K118" s="17" t="s">
        <v>248</v>
      </c>
    </row>
    <row r="119" customFormat="false" ht="15" hidden="false" customHeight="false" outlineLevel="0" collapsed="false">
      <c r="A119" s="17" t="s">
        <v>450</v>
      </c>
      <c r="B119" s="17" t="s">
        <v>100</v>
      </c>
      <c r="C119" s="17" t="s">
        <v>451</v>
      </c>
      <c r="D119" s="17" t="s">
        <v>254</v>
      </c>
      <c r="E119" s="17" t="s">
        <v>213</v>
      </c>
      <c r="F119" s="17" t="s">
        <v>215</v>
      </c>
      <c r="G119" s="17" t="s">
        <v>236</v>
      </c>
      <c r="H119" s="17" t="s">
        <v>216</v>
      </c>
      <c r="I119" s="17" t="s">
        <v>223</v>
      </c>
      <c r="J119" s="17" t="s">
        <v>218</v>
      </c>
      <c r="K119" s="17" t="s">
        <v>248</v>
      </c>
    </row>
    <row r="120" customFormat="false" ht="15" hidden="false" customHeight="false" outlineLevel="0" collapsed="false">
      <c r="A120" s="17" t="s">
        <v>452</v>
      </c>
      <c r="B120" s="17" t="s">
        <v>100</v>
      </c>
      <c r="C120" s="17" t="s">
        <v>453</v>
      </c>
      <c r="D120" s="17" t="s">
        <v>257</v>
      </c>
      <c r="E120" s="17" t="s">
        <v>258</v>
      </c>
      <c r="F120" s="17" t="s">
        <v>236</v>
      </c>
      <c r="G120" s="17" t="s">
        <v>214</v>
      </c>
      <c r="H120" s="17" t="s">
        <v>216</v>
      </c>
      <c r="I120" s="17" t="s">
        <v>217</v>
      </c>
      <c r="J120" s="17" t="s">
        <v>244</v>
      </c>
      <c r="K120" s="17" t="s">
        <v>259</v>
      </c>
    </row>
    <row r="121" customFormat="false" ht="15" hidden="false" customHeight="false" outlineLevel="0" collapsed="false">
      <c r="A121" s="17" t="s">
        <v>454</v>
      </c>
      <c r="B121" s="17" t="s">
        <v>100</v>
      </c>
      <c r="C121" s="17" t="s">
        <v>455</v>
      </c>
      <c r="D121" s="17" t="s">
        <v>262</v>
      </c>
      <c r="E121" s="17" t="s">
        <v>258</v>
      </c>
      <c r="F121" s="17" t="s">
        <v>236</v>
      </c>
      <c r="G121" s="17" t="s">
        <v>214</v>
      </c>
      <c r="H121" s="17" t="s">
        <v>216</v>
      </c>
      <c r="I121" s="17" t="s">
        <v>217</v>
      </c>
      <c r="J121" s="17" t="s">
        <v>244</v>
      </c>
      <c r="K121" s="17" t="s">
        <v>259</v>
      </c>
    </row>
    <row r="122" customFormat="false" ht="15" hidden="false" customHeight="false" outlineLevel="0" collapsed="false">
      <c r="A122" s="22" t="s">
        <v>456</v>
      </c>
      <c r="B122" s="22" t="s">
        <v>100</v>
      </c>
      <c r="C122" s="22" t="str">
        <f aca="false">"Hat "&amp;Konfiguration!$B$5&amp;" ein gutes Angebot bei Hautpflege und Wundsalben?"</f>
        <v>Hat [Markenname] ein gutes Angebot bei Hautpflege und Wundsalben?</v>
      </c>
      <c r="D122" s="22" t="s">
        <v>264</v>
      </c>
      <c r="E122" s="22" t="s">
        <v>228</v>
      </c>
      <c r="F122" s="22" t="s">
        <v>236</v>
      </c>
      <c r="G122" s="22" t="s">
        <v>214</v>
      </c>
      <c r="H122" s="22" t="s">
        <v>265</v>
      </c>
      <c r="I122" s="22" t="s">
        <v>217</v>
      </c>
      <c r="J122" s="22" t="s">
        <v>244</v>
      </c>
      <c r="K122" s="22" t="s">
        <v>248</v>
      </c>
    </row>
    <row r="123" customFormat="false" ht="23.85" hidden="false" customHeight="false" outlineLevel="0" collapsed="false">
      <c r="A123" s="22" t="s">
        <v>457</v>
      </c>
      <c r="B123" s="22" t="s">
        <v>100</v>
      </c>
      <c r="C123" s="22" t="str">
        <f aca="false">"Was ist besser bei Hautpflege und Wundsalben, "&amp;Konfiguration!$B$5&amp;" oder "&amp;IF(Konfiguration!$A$17="","[Wettbewerber 1]",Konfiguration!$A$17)&amp;"?"</f>
        <v>Was ist besser bei Hautpflege und Wundsalben, [Markenname] oder Versandapotheke A?</v>
      </c>
      <c r="D123" s="22" t="s">
        <v>267</v>
      </c>
      <c r="E123" s="22" t="s">
        <v>228</v>
      </c>
      <c r="F123" s="22" t="s">
        <v>236</v>
      </c>
      <c r="G123" s="22" t="s">
        <v>214</v>
      </c>
      <c r="H123" s="22" t="s">
        <v>265</v>
      </c>
      <c r="I123" s="22" t="s">
        <v>217</v>
      </c>
      <c r="J123" s="22" t="s">
        <v>237</v>
      </c>
      <c r="K123" s="22" t="s">
        <v>229</v>
      </c>
    </row>
    <row r="124" customFormat="false" ht="23.85" hidden="false" customHeight="false" outlineLevel="0" collapsed="false">
      <c r="A124" s="22" t="s">
        <v>458</v>
      </c>
      <c r="B124" s="22" t="s">
        <v>100</v>
      </c>
      <c r="C124" s="22" t="str">
        <f aca="false">"Soll ich Hautpflege bei "&amp;Konfiguration!$B$5&amp;", in der Apotheke oder bei "&amp;IF(Konfiguration!$A$18="","[Wettbewerber 2]",Konfiguration!$A$18)&amp;" kaufen?"</f>
        <v>Soll ich Hautpflege bei [Markenname], in der Apotheke oder bei [Wettbewerber 2] kaufen?</v>
      </c>
      <c r="D124" s="22" t="s">
        <v>269</v>
      </c>
      <c r="E124" s="22" t="s">
        <v>258</v>
      </c>
      <c r="F124" s="22" t="s">
        <v>236</v>
      </c>
      <c r="G124" s="22" t="s">
        <v>214</v>
      </c>
      <c r="H124" s="22" t="s">
        <v>265</v>
      </c>
      <c r="I124" s="22" t="s">
        <v>217</v>
      </c>
      <c r="J124" s="22" t="s">
        <v>244</v>
      </c>
      <c r="K124" s="22" t="s">
        <v>229</v>
      </c>
    </row>
    <row r="125" customFormat="false" ht="15" hidden="false" customHeight="false" outlineLevel="0" collapsed="false">
      <c r="A125" s="17" t="s">
        <v>459</v>
      </c>
      <c r="B125" s="17" t="s">
        <v>103</v>
      </c>
      <c r="C125" s="17" t="s">
        <v>460</v>
      </c>
      <c r="D125" s="17" t="s">
        <v>212</v>
      </c>
      <c r="E125" s="17" t="s">
        <v>213</v>
      </c>
      <c r="F125" s="17" t="s">
        <v>214</v>
      </c>
      <c r="G125" s="17" t="s">
        <v>215</v>
      </c>
      <c r="H125" s="17" t="s">
        <v>216</v>
      </c>
      <c r="I125" s="17" t="s">
        <v>217</v>
      </c>
      <c r="J125" s="17" t="s">
        <v>218</v>
      </c>
      <c r="K125" s="17" t="s">
        <v>219</v>
      </c>
    </row>
    <row r="126" customFormat="false" ht="15" hidden="false" customHeight="false" outlineLevel="0" collapsed="false">
      <c r="A126" s="17" t="s">
        <v>461</v>
      </c>
      <c r="B126" s="17" t="s">
        <v>103</v>
      </c>
      <c r="C126" s="17" t="s">
        <v>462</v>
      </c>
      <c r="D126" s="17" t="s">
        <v>222</v>
      </c>
      <c r="E126" s="17" t="s">
        <v>213</v>
      </c>
      <c r="F126" s="17" t="s">
        <v>214</v>
      </c>
      <c r="G126" s="17" t="s">
        <v>215</v>
      </c>
      <c r="H126" s="17" t="s">
        <v>216</v>
      </c>
      <c r="I126" s="17" t="s">
        <v>223</v>
      </c>
      <c r="J126" s="17" t="s">
        <v>224</v>
      </c>
      <c r="K126" s="17" t="s">
        <v>219</v>
      </c>
    </row>
    <row r="127" customFormat="false" ht="15" hidden="false" customHeight="false" outlineLevel="0" collapsed="false">
      <c r="A127" s="17" t="s">
        <v>463</v>
      </c>
      <c r="B127" s="17" t="s">
        <v>103</v>
      </c>
      <c r="C127" s="17" t="s">
        <v>464</v>
      </c>
      <c r="D127" s="17" t="s">
        <v>227</v>
      </c>
      <c r="E127" s="17" t="s">
        <v>228</v>
      </c>
      <c r="F127" s="17" t="s">
        <v>215</v>
      </c>
      <c r="G127" s="17" t="s">
        <v>215</v>
      </c>
      <c r="H127" s="17" t="s">
        <v>216</v>
      </c>
      <c r="I127" s="17" t="s">
        <v>217</v>
      </c>
      <c r="J127" s="17" t="s">
        <v>218</v>
      </c>
      <c r="K127" s="17" t="s">
        <v>229</v>
      </c>
    </row>
    <row r="128" customFormat="false" ht="15" hidden="false" customHeight="false" outlineLevel="0" collapsed="false">
      <c r="A128" s="17" t="s">
        <v>465</v>
      </c>
      <c r="B128" s="17" t="s">
        <v>103</v>
      </c>
      <c r="C128" s="17" t="s">
        <v>466</v>
      </c>
      <c r="D128" s="17" t="s">
        <v>232</v>
      </c>
      <c r="E128" s="17" t="s">
        <v>228</v>
      </c>
      <c r="F128" s="17" t="s">
        <v>215</v>
      </c>
      <c r="G128" s="17" t="s">
        <v>214</v>
      </c>
      <c r="H128" s="17" t="s">
        <v>216</v>
      </c>
      <c r="I128" s="17" t="s">
        <v>217</v>
      </c>
      <c r="J128" s="17" t="s">
        <v>218</v>
      </c>
      <c r="K128" s="17" t="s">
        <v>229</v>
      </c>
    </row>
    <row r="129" customFormat="false" ht="15" hidden="false" customHeight="false" outlineLevel="0" collapsed="false">
      <c r="A129" s="17" t="s">
        <v>467</v>
      </c>
      <c r="B129" s="17" t="s">
        <v>103</v>
      </c>
      <c r="C129" s="17" t="s">
        <v>468</v>
      </c>
      <c r="D129" s="17" t="s">
        <v>235</v>
      </c>
      <c r="E129" s="17" t="s">
        <v>228</v>
      </c>
      <c r="F129" s="17" t="s">
        <v>236</v>
      </c>
      <c r="G129" s="17" t="s">
        <v>214</v>
      </c>
      <c r="H129" s="17" t="s">
        <v>216</v>
      </c>
      <c r="I129" s="17" t="s">
        <v>217</v>
      </c>
      <c r="J129" s="17" t="s">
        <v>237</v>
      </c>
      <c r="K129" s="17" t="s">
        <v>229</v>
      </c>
    </row>
    <row r="130" customFormat="false" ht="15" hidden="false" customHeight="false" outlineLevel="0" collapsed="false">
      <c r="A130" s="17" t="s">
        <v>469</v>
      </c>
      <c r="B130" s="17" t="s">
        <v>103</v>
      </c>
      <c r="C130" s="17" t="s">
        <v>470</v>
      </c>
      <c r="D130" s="17" t="s">
        <v>240</v>
      </c>
      <c r="E130" s="17" t="s">
        <v>228</v>
      </c>
      <c r="F130" s="17" t="s">
        <v>236</v>
      </c>
      <c r="G130" s="17" t="s">
        <v>214</v>
      </c>
      <c r="H130" s="17" t="s">
        <v>216</v>
      </c>
      <c r="I130" s="17" t="s">
        <v>217</v>
      </c>
      <c r="J130" s="17" t="s">
        <v>237</v>
      </c>
      <c r="K130" s="17" t="s">
        <v>229</v>
      </c>
    </row>
    <row r="131" customFormat="false" ht="15" hidden="false" customHeight="false" outlineLevel="0" collapsed="false">
      <c r="A131" s="17" t="s">
        <v>471</v>
      </c>
      <c r="B131" s="17" t="s">
        <v>103</v>
      </c>
      <c r="C131" s="17" t="s">
        <v>472</v>
      </c>
      <c r="D131" s="17" t="s">
        <v>243</v>
      </c>
      <c r="E131" s="17" t="s">
        <v>228</v>
      </c>
      <c r="F131" s="17" t="s">
        <v>236</v>
      </c>
      <c r="G131" s="17" t="s">
        <v>214</v>
      </c>
      <c r="H131" s="17" t="s">
        <v>216</v>
      </c>
      <c r="I131" s="17" t="s">
        <v>217</v>
      </c>
      <c r="J131" s="17" t="s">
        <v>244</v>
      </c>
      <c r="K131" s="17" t="s">
        <v>229</v>
      </c>
    </row>
    <row r="132" customFormat="false" ht="15" hidden="false" customHeight="false" outlineLevel="0" collapsed="false">
      <c r="A132" s="17" t="s">
        <v>473</v>
      </c>
      <c r="B132" s="17" t="s">
        <v>103</v>
      </c>
      <c r="C132" s="17" t="s">
        <v>474</v>
      </c>
      <c r="D132" s="17" t="s">
        <v>247</v>
      </c>
      <c r="E132" s="17" t="s">
        <v>228</v>
      </c>
      <c r="F132" s="17" t="s">
        <v>215</v>
      </c>
      <c r="G132" s="17" t="s">
        <v>214</v>
      </c>
      <c r="H132" s="17" t="s">
        <v>216</v>
      </c>
      <c r="I132" s="17" t="s">
        <v>217</v>
      </c>
      <c r="J132" s="17" t="s">
        <v>244</v>
      </c>
      <c r="K132" s="17" t="s">
        <v>248</v>
      </c>
    </row>
    <row r="133" customFormat="false" ht="15" hidden="false" customHeight="false" outlineLevel="0" collapsed="false">
      <c r="A133" s="17" t="s">
        <v>475</v>
      </c>
      <c r="B133" s="17" t="s">
        <v>103</v>
      </c>
      <c r="C133" s="17" t="s">
        <v>476</v>
      </c>
      <c r="D133" s="17" t="s">
        <v>251</v>
      </c>
      <c r="E133" s="17" t="s">
        <v>213</v>
      </c>
      <c r="F133" s="17" t="s">
        <v>214</v>
      </c>
      <c r="G133" s="17" t="s">
        <v>236</v>
      </c>
      <c r="H133" s="17" t="s">
        <v>216</v>
      </c>
      <c r="I133" s="17" t="s">
        <v>223</v>
      </c>
      <c r="J133" s="17" t="s">
        <v>224</v>
      </c>
      <c r="K133" s="17" t="s">
        <v>248</v>
      </c>
    </row>
    <row r="134" customFormat="false" ht="15" hidden="false" customHeight="false" outlineLevel="0" collapsed="false">
      <c r="A134" s="17" t="s">
        <v>477</v>
      </c>
      <c r="B134" s="17" t="s">
        <v>103</v>
      </c>
      <c r="C134" s="17" t="s">
        <v>478</v>
      </c>
      <c r="D134" s="17" t="s">
        <v>254</v>
      </c>
      <c r="E134" s="17" t="s">
        <v>213</v>
      </c>
      <c r="F134" s="17" t="s">
        <v>215</v>
      </c>
      <c r="G134" s="17" t="s">
        <v>236</v>
      </c>
      <c r="H134" s="17" t="s">
        <v>216</v>
      </c>
      <c r="I134" s="17" t="s">
        <v>223</v>
      </c>
      <c r="J134" s="17" t="s">
        <v>218</v>
      </c>
      <c r="K134" s="17" t="s">
        <v>248</v>
      </c>
    </row>
    <row r="135" customFormat="false" ht="15" hidden="false" customHeight="false" outlineLevel="0" collapsed="false">
      <c r="A135" s="17" t="s">
        <v>479</v>
      </c>
      <c r="B135" s="17" t="s">
        <v>103</v>
      </c>
      <c r="C135" s="17" t="s">
        <v>480</v>
      </c>
      <c r="D135" s="17" t="s">
        <v>257</v>
      </c>
      <c r="E135" s="17" t="s">
        <v>258</v>
      </c>
      <c r="F135" s="17" t="s">
        <v>236</v>
      </c>
      <c r="G135" s="17" t="s">
        <v>214</v>
      </c>
      <c r="H135" s="17" t="s">
        <v>216</v>
      </c>
      <c r="I135" s="17" t="s">
        <v>217</v>
      </c>
      <c r="J135" s="17" t="s">
        <v>244</v>
      </c>
      <c r="K135" s="17" t="s">
        <v>259</v>
      </c>
    </row>
    <row r="136" customFormat="false" ht="15" hidden="false" customHeight="false" outlineLevel="0" collapsed="false">
      <c r="A136" s="17" t="s">
        <v>481</v>
      </c>
      <c r="B136" s="17" t="s">
        <v>103</v>
      </c>
      <c r="C136" s="17" t="s">
        <v>482</v>
      </c>
      <c r="D136" s="17" t="s">
        <v>262</v>
      </c>
      <c r="E136" s="17" t="s">
        <v>258</v>
      </c>
      <c r="F136" s="17" t="s">
        <v>236</v>
      </c>
      <c r="G136" s="17" t="s">
        <v>214</v>
      </c>
      <c r="H136" s="17" t="s">
        <v>216</v>
      </c>
      <c r="I136" s="17" t="s">
        <v>217</v>
      </c>
      <c r="J136" s="17" t="s">
        <v>244</v>
      </c>
      <c r="K136" s="17" t="s">
        <v>259</v>
      </c>
    </row>
    <row r="137" customFormat="false" ht="15" hidden="false" customHeight="false" outlineLevel="0" collapsed="false">
      <c r="A137" s="22" t="s">
        <v>483</v>
      </c>
      <c r="B137" s="22" t="s">
        <v>103</v>
      </c>
      <c r="C137" s="22" t="str">
        <f aca="false">"Hat "&amp;Konfiguration!$B$5&amp;" ein gutes Angebot bei Schlaf- und Beruhigungsmitteln?"</f>
        <v>Hat [Markenname] ein gutes Angebot bei Schlaf- und Beruhigungsmitteln?</v>
      </c>
      <c r="D137" s="22" t="s">
        <v>264</v>
      </c>
      <c r="E137" s="22" t="s">
        <v>228</v>
      </c>
      <c r="F137" s="22" t="s">
        <v>236</v>
      </c>
      <c r="G137" s="22" t="s">
        <v>214</v>
      </c>
      <c r="H137" s="22" t="s">
        <v>265</v>
      </c>
      <c r="I137" s="22" t="s">
        <v>217</v>
      </c>
      <c r="J137" s="22" t="s">
        <v>244</v>
      </c>
      <c r="K137" s="22" t="s">
        <v>248</v>
      </c>
    </row>
    <row r="138" customFormat="false" ht="23.85" hidden="false" customHeight="false" outlineLevel="0" collapsed="false">
      <c r="A138" s="22" t="s">
        <v>484</v>
      </c>
      <c r="B138" s="22" t="s">
        <v>103</v>
      </c>
      <c r="C138" s="22" t="str">
        <f aca="false">"Was ist besser bei Schlaf- und Beruhigungsmitteln, "&amp;Konfiguration!$B$5&amp;" oder "&amp;IF(Konfiguration!$A$17="","[Wettbewerber 1]",Konfiguration!$A$17)&amp;"?"</f>
        <v>Was ist besser bei Schlaf- und Beruhigungsmitteln, [Markenname] oder Versandapotheke A?</v>
      </c>
      <c r="D138" s="22" t="s">
        <v>267</v>
      </c>
      <c r="E138" s="22" t="s">
        <v>228</v>
      </c>
      <c r="F138" s="22" t="s">
        <v>236</v>
      </c>
      <c r="G138" s="22" t="s">
        <v>214</v>
      </c>
      <c r="H138" s="22" t="s">
        <v>265</v>
      </c>
      <c r="I138" s="22" t="s">
        <v>217</v>
      </c>
      <c r="J138" s="22" t="s">
        <v>237</v>
      </c>
      <c r="K138" s="22" t="s">
        <v>229</v>
      </c>
    </row>
    <row r="139" customFormat="false" ht="23.85" hidden="false" customHeight="false" outlineLevel="0" collapsed="false">
      <c r="A139" s="22" t="s">
        <v>485</v>
      </c>
      <c r="B139" s="22" t="s">
        <v>103</v>
      </c>
      <c r="C139" s="22" t="str">
        <f aca="false">"Soll ich Schlaf- und Beruhigungsmittel bei "&amp;Konfiguration!$B$5&amp;", in der Apotheke oder bei "&amp;IF(Konfiguration!$A$18="","[Wettbewerber 2]",Konfiguration!$A$18)&amp;" kaufen?"</f>
        <v>Soll ich Schlaf- und Beruhigungsmittel bei [Markenname], in der Apotheke oder bei [Wettbewerber 2] kaufen?</v>
      </c>
      <c r="D139" s="22" t="s">
        <v>269</v>
      </c>
      <c r="E139" s="22" t="s">
        <v>258</v>
      </c>
      <c r="F139" s="22" t="s">
        <v>236</v>
      </c>
      <c r="G139" s="22" t="s">
        <v>214</v>
      </c>
      <c r="H139" s="22" t="s">
        <v>265</v>
      </c>
      <c r="I139" s="22" t="s">
        <v>217</v>
      </c>
      <c r="J139" s="22" t="s">
        <v>244</v>
      </c>
      <c r="K139" s="22" t="s">
        <v>229</v>
      </c>
    </row>
    <row r="140" customFormat="false" ht="15" hidden="false" customHeight="false" outlineLevel="0" collapsed="false">
      <c r="A140" s="17" t="s">
        <v>486</v>
      </c>
      <c r="B140" s="17" t="s">
        <v>106</v>
      </c>
      <c r="C140" s="17" t="s">
        <v>487</v>
      </c>
      <c r="D140" s="17" t="s">
        <v>212</v>
      </c>
      <c r="E140" s="17" t="s">
        <v>213</v>
      </c>
      <c r="F140" s="17" t="s">
        <v>214</v>
      </c>
      <c r="G140" s="17" t="s">
        <v>215</v>
      </c>
      <c r="H140" s="17" t="s">
        <v>216</v>
      </c>
      <c r="I140" s="17" t="s">
        <v>217</v>
      </c>
      <c r="J140" s="17" t="s">
        <v>218</v>
      </c>
      <c r="K140" s="17" t="s">
        <v>219</v>
      </c>
    </row>
    <row r="141" customFormat="false" ht="15" hidden="false" customHeight="false" outlineLevel="0" collapsed="false">
      <c r="A141" s="17" t="s">
        <v>488</v>
      </c>
      <c r="B141" s="17" t="s">
        <v>106</v>
      </c>
      <c r="C141" s="17" t="s">
        <v>489</v>
      </c>
      <c r="D141" s="17" t="s">
        <v>222</v>
      </c>
      <c r="E141" s="17" t="s">
        <v>213</v>
      </c>
      <c r="F141" s="17" t="s">
        <v>214</v>
      </c>
      <c r="G141" s="17" t="s">
        <v>215</v>
      </c>
      <c r="H141" s="17" t="s">
        <v>216</v>
      </c>
      <c r="I141" s="17" t="s">
        <v>223</v>
      </c>
      <c r="J141" s="17" t="s">
        <v>224</v>
      </c>
      <c r="K141" s="17" t="s">
        <v>219</v>
      </c>
    </row>
    <row r="142" customFormat="false" ht="15" hidden="false" customHeight="false" outlineLevel="0" collapsed="false">
      <c r="A142" s="17" t="s">
        <v>490</v>
      </c>
      <c r="B142" s="17" t="s">
        <v>106</v>
      </c>
      <c r="C142" s="17" t="s">
        <v>491</v>
      </c>
      <c r="D142" s="17" t="s">
        <v>227</v>
      </c>
      <c r="E142" s="17" t="s">
        <v>228</v>
      </c>
      <c r="F142" s="17" t="s">
        <v>215</v>
      </c>
      <c r="G142" s="17" t="s">
        <v>215</v>
      </c>
      <c r="H142" s="17" t="s">
        <v>216</v>
      </c>
      <c r="I142" s="17" t="s">
        <v>217</v>
      </c>
      <c r="J142" s="17" t="s">
        <v>218</v>
      </c>
      <c r="K142" s="17" t="s">
        <v>229</v>
      </c>
    </row>
    <row r="143" customFormat="false" ht="15" hidden="false" customHeight="false" outlineLevel="0" collapsed="false">
      <c r="A143" s="17" t="s">
        <v>492</v>
      </c>
      <c r="B143" s="17" t="s">
        <v>106</v>
      </c>
      <c r="C143" s="17" t="s">
        <v>493</v>
      </c>
      <c r="D143" s="17" t="s">
        <v>232</v>
      </c>
      <c r="E143" s="17" t="s">
        <v>228</v>
      </c>
      <c r="F143" s="17" t="s">
        <v>215</v>
      </c>
      <c r="G143" s="17" t="s">
        <v>214</v>
      </c>
      <c r="H143" s="17" t="s">
        <v>216</v>
      </c>
      <c r="I143" s="17" t="s">
        <v>217</v>
      </c>
      <c r="J143" s="17" t="s">
        <v>218</v>
      </c>
      <c r="K143" s="17" t="s">
        <v>229</v>
      </c>
    </row>
    <row r="144" customFormat="false" ht="15" hidden="false" customHeight="false" outlineLevel="0" collapsed="false">
      <c r="A144" s="17" t="s">
        <v>494</v>
      </c>
      <c r="B144" s="17" t="s">
        <v>106</v>
      </c>
      <c r="C144" s="17" t="s">
        <v>495</v>
      </c>
      <c r="D144" s="17" t="s">
        <v>235</v>
      </c>
      <c r="E144" s="17" t="s">
        <v>228</v>
      </c>
      <c r="F144" s="17" t="s">
        <v>236</v>
      </c>
      <c r="G144" s="17" t="s">
        <v>214</v>
      </c>
      <c r="H144" s="17" t="s">
        <v>216</v>
      </c>
      <c r="I144" s="17" t="s">
        <v>217</v>
      </c>
      <c r="J144" s="17" t="s">
        <v>237</v>
      </c>
      <c r="K144" s="17" t="s">
        <v>229</v>
      </c>
    </row>
    <row r="145" customFormat="false" ht="15" hidden="false" customHeight="false" outlineLevel="0" collapsed="false">
      <c r="A145" s="17" t="s">
        <v>496</v>
      </c>
      <c r="B145" s="17" t="s">
        <v>106</v>
      </c>
      <c r="C145" s="17" t="s">
        <v>497</v>
      </c>
      <c r="D145" s="17" t="s">
        <v>240</v>
      </c>
      <c r="E145" s="17" t="s">
        <v>228</v>
      </c>
      <c r="F145" s="17" t="s">
        <v>236</v>
      </c>
      <c r="G145" s="17" t="s">
        <v>214</v>
      </c>
      <c r="H145" s="17" t="s">
        <v>216</v>
      </c>
      <c r="I145" s="17" t="s">
        <v>217</v>
      </c>
      <c r="J145" s="17" t="s">
        <v>237</v>
      </c>
      <c r="K145" s="17" t="s">
        <v>229</v>
      </c>
    </row>
    <row r="146" customFormat="false" ht="15" hidden="false" customHeight="false" outlineLevel="0" collapsed="false">
      <c r="A146" s="17" t="s">
        <v>498</v>
      </c>
      <c r="B146" s="17" t="s">
        <v>106</v>
      </c>
      <c r="C146" s="17" t="s">
        <v>499</v>
      </c>
      <c r="D146" s="17" t="s">
        <v>243</v>
      </c>
      <c r="E146" s="17" t="s">
        <v>228</v>
      </c>
      <c r="F146" s="17" t="s">
        <v>236</v>
      </c>
      <c r="G146" s="17" t="s">
        <v>214</v>
      </c>
      <c r="H146" s="17" t="s">
        <v>216</v>
      </c>
      <c r="I146" s="17" t="s">
        <v>217</v>
      </c>
      <c r="J146" s="17" t="s">
        <v>244</v>
      </c>
      <c r="K146" s="17" t="s">
        <v>229</v>
      </c>
    </row>
    <row r="147" customFormat="false" ht="15" hidden="false" customHeight="false" outlineLevel="0" collapsed="false">
      <c r="A147" s="17" t="s">
        <v>500</v>
      </c>
      <c r="B147" s="17" t="s">
        <v>106</v>
      </c>
      <c r="C147" s="17" t="s">
        <v>501</v>
      </c>
      <c r="D147" s="17" t="s">
        <v>247</v>
      </c>
      <c r="E147" s="17" t="s">
        <v>228</v>
      </c>
      <c r="F147" s="17" t="s">
        <v>215</v>
      </c>
      <c r="G147" s="17" t="s">
        <v>214</v>
      </c>
      <c r="H147" s="17" t="s">
        <v>216</v>
      </c>
      <c r="I147" s="17" t="s">
        <v>217</v>
      </c>
      <c r="J147" s="17" t="s">
        <v>244</v>
      </c>
      <c r="K147" s="17" t="s">
        <v>248</v>
      </c>
    </row>
    <row r="148" customFormat="false" ht="15" hidden="false" customHeight="false" outlineLevel="0" collapsed="false">
      <c r="A148" s="17" t="s">
        <v>502</v>
      </c>
      <c r="B148" s="17" t="s">
        <v>106</v>
      </c>
      <c r="C148" s="17" t="s">
        <v>503</v>
      </c>
      <c r="D148" s="17" t="s">
        <v>251</v>
      </c>
      <c r="E148" s="17" t="s">
        <v>213</v>
      </c>
      <c r="F148" s="17" t="s">
        <v>214</v>
      </c>
      <c r="G148" s="17" t="s">
        <v>236</v>
      </c>
      <c r="H148" s="17" t="s">
        <v>216</v>
      </c>
      <c r="I148" s="17" t="s">
        <v>223</v>
      </c>
      <c r="J148" s="17" t="s">
        <v>224</v>
      </c>
      <c r="K148" s="17" t="s">
        <v>248</v>
      </c>
    </row>
    <row r="149" customFormat="false" ht="15" hidden="false" customHeight="false" outlineLevel="0" collapsed="false">
      <c r="A149" s="17" t="s">
        <v>504</v>
      </c>
      <c r="B149" s="17" t="s">
        <v>106</v>
      </c>
      <c r="C149" s="17" t="s">
        <v>505</v>
      </c>
      <c r="D149" s="17" t="s">
        <v>254</v>
      </c>
      <c r="E149" s="17" t="s">
        <v>213</v>
      </c>
      <c r="F149" s="17" t="s">
        <v>215</v>
      </c>
      <c r="G149" s="17" t="s">
        <v>236</v>
      </c>
      <c r="H149" s="17" t="s">
        <v>216</v>
      </c>
      <c r="I149" s="17" t="s">
        <v>223</v>
      </c>
      <c r="J149" s="17" t="s">
        <v>218</v>
      </c>
      <c r="K149" s="17" t="s">
        <v>248</v>
      </c>
    </row>
    <row r="150" customFormat="false" ht="15" hidden="false" customHeight="false" outlineLevel="0" collapsed="false">
      <c r="A150" s="17" t="s">
        <v>506</v>
      </c>
      <c r="B150" s="17" t="s">
        <v>106</v>
      </c>
      <c r="C150" s="17" t="s">
        <v>507</v>
      </c>
      <c r="D150" s="17" t="s">
        <v>257</v>
      </c>
      <c r="E150" s="17" t="s">
        <v>258</v>
      </c>
      <c r="F150" s="17" t="s">
        <v>236</v>
      </c>
      <c r="G150" s="17" t="s">
        <v>214</v>
      </c>
      <c r="H150" s="17" t="s">
        <v>216</v>
      </c>
      <c r="I150" s="17" t="s">
        <v>217</v>
      </c>
      <c r="J150" s="17" t="s">
        <v>244</v>
      </c>
      <c r="K150" s="17" t="s">
        <v>259</v>
      </c>
    </row>
    <row r="151" customFormat="false" ht="15" hidden="false" customHeight="false" outlineLevel="0" collapsed="false">
      <c r="A151" s="17" t="s">
        <v>508</v>
      </c>
      <c r="B151" s="17" t="s">
        <v>106</v>
      </c>
      <c r="C151" s="17" t="s">
        <v>509</v>
      </c>
      <c r="D151" s="17" t="s">
        <v>262</v>
      </c>
      <c r="E151" s="17" t="s">
        <v>258</v>
      </c>
      <c r="F151" s="17" t="s">
        <v>236</v>
      </c>
      <c r="G151" s="17" t="s">
        <v>214</v>
      </c>
      <c r="H151" s="17" t="s">
        <v>216</v>
      </c>
      <c r="I151" s="17" t="s">
        <v>217</v>
      </c>
      <c r="J151" s="17" t="s">
        <v>244</v>
      </c>
      <c r="K151" s="17" t="s">
        <v>259</v>
      </c>
    </row>
    <row r="152" customFormat="false" ht="15" hidden="false" customHeight="false" outlineLevel="0" collapsed="false">
      <c r="A152" s="22" t="s">
        <v>510</v>
      </c>
      <c r="B152" s="22" t="s">
        <v>106</v>
      </c>
      <c r="C152" s="22" t="str">
        <f aca="false">"Hat "&amp;Konfiguration!$B$5&amp;" ein gutes Angebot bei Augentropfen?"</f>
        <v>Hat [Markenname] ein gutes Angebot bei Augentropfen?</v>
      </c>
      <c r="D152" s="22" t="s">
        <v>264</v>
      </c>
      <c r="E152" s="22" t="s">
        <v>228</v>
      </c>
      <c r="F152" s="22" t="s">
        <v>236</v>
      </c>
      <c r="G152" s="22" t="s">
        <v>214</v>
      </c>
      <c r="H152" s="22" t="s">
        <v>265</v>
      </c>
      <c r="I152" s="22" t="s">
        <v>217</v>
      </c>
      <c r="J152" s="22" t="s">
        <v>244</v>
      </c>
      <c r="K152" s="22" t="s">
        <v>248</v>
      </c>
    </row>
    <row r="153" customFormat="false" ht="23.85" hidden="false" customHeight="false" outlineLevel="0" collapsed="false">
      <c r="A153" s="22" t="s">
        <v>511</v>
      </c>
      <c r="B153" s="22" t="s">
        <v>106</v>
      </c>
      <c r="C153" s="22" t="str">
        <f aca="false">"Was ist besser bei Augentropfen, "&amp;Konfiguration!$B$5&amp;" oder "&amp;IF(Konfiguration!$A$17="","[Wettbewerber 1]",Konfiguration!$A$17)&amp;"?"</f>
        <v>Was ist besser bei Augentropfen, [Markenname] oder Versandapotheke A?</v>
      </c>
      <c r="D153" s="22" t="s">
        <v>267</v>
      </c>
      <c r="E153" s="22" t="s">
        <v>228</v>
      </c>
      <c r="F153" s="22" t="s">
        <v>236</v>
      </c>
      <c r="G153" s="22" t="s">
        <v>214</v>
      </c>
      <c r="H153" s="22" t="s">
        <v>265</v>
      </c>
      <c r="I153" s="22" t="s">
        <v>217</v>
      </c>
      <c r="J153" s="22" t="s">
        <v>237</v>
      </c>
      <c r="K153" s="22" t="s">
        <v>229</v>
      </c>
    </row>
    <row r="154" customFormat="false" ht="23.85" hidden="false" customHeight="false" outlineLevel="0" collapsed="false">
      <c r="A154" s="22" t="s">
        <v>512</v>
      </c>
      <c r="B154" s="22" t="s">
        <v>106</v>
      </c>
      <c r="C154" s="22" t="str">
        <f aca="false">"Soll ich Augentropfen bei "&amp;Konfiguration!$B$5&amp;", in der Apotheke oder bei "&amp;IF(Konfiguration!$A$18="","[Wettbewerber 2]",Konfiguration!$A$18)&amp;" kaufen?"</f>
        <v>Soll ich Augentropfen bei [Markenname], in der Apotheke oder bei [Wettbewerber 2] kaufen?</v>
      </c>
      <c r="D154" s="22" t="s">
        <v>269</v>
      </c>
      <c r="E154" s="22" t="s">
        <v>258</v>
      </c>
      <c r="F154" s="22" t="s">
        <v>236</v>
      </c>
      <c r="G154" s="22" t="s">
        <v>214</v>
      </c>
      <c r="H154" s="22" t="s">
        <v>265</v>
      </c>
      <c r="I154" s="22" t="s">
        <v>217</v>
      </c>
      <c r="J154" s="22" t="s">
        <v>244</v>
      </c>
      <c r="K154" s="22" t="s">
        <v>229</v>
      </c>
    </row>
  </sheetData>
  <mergeCells count="2">
    <mergeCell ref="A1:K1"/>
    <mergeCell ref="A2:K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4" topLeftCell="C5" activePane="bottomRight" state="frozen"/>
      <selection pane="topLeft" activeCell="A1" activeCellId="0" sqref="A1"/>
      <selection pane="topRight" activeCell="C1" activeCellId="0" sqref="C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9"/>
    <col collapsed="false" customWidth="true" hidden="false" outlineLevel="0" max="2" min="2" style="0" width="11"/>
    <col collapsed="false" customWidth="true" hidden="false" outlineLevel="0" max="3" min="3" style="0" width="8"/>
    <col collapsed="false" customWidth="true" hidden="false" outlineLevel="0" max="4" min="4" style="0" width="7"/>
    <col collapsed="false" customWidth="true" hidden="false" outlineLevel="0" max="5" min="5" style="0" width="8"/>
    <col collapsed="false" customWidth="true" hidden="false" outlineLevel="0" max="6" min="6" style="0" width="16"/>
    <col collapsed="false" customWidth="true" hidden="false" outlineLevel="0" max="7" min="7" style="0" width="14"/>
    <col collapsed="false" customWidth="true" hidden="false" outlineLevel="0" max="8" min="8" style="0" width="20"/>
    <col collapsed="false" customWidth="true" hidden="false" outlineLevel="0" max="9" min="9" style="0" width="10"/>
    <col collapsed="false" customWidth="true" hidden="false" outlineLevel="0" max="10" min="10" style="0" width="12"/>
    <col collapsed="false" customWidth="true" hidden="false" outlineLevel="0" max="11" min="11" style="0" width="13"/>
    <col collapsed="false" customWidth="true" hidden="false" outlineLevel="0" max="12" min="12" style="0" width="14"/>
    <col collapsed="false" customWidth="true" hidden="false" outlineLevel="0" max="13" min="13" style="0" width="20"/>
    <col collapsed="false" customWidth="true" hidden="false" outlineLevel="0" max="14" min="14" style="0" width="9"/>
    <col collapsed="false" customWidth="true" hidden="false" outlineLevel="0" max="15" min="15" style="0" width="13"/>
    <col collapsed="false" customWidth="true" hidden="false" outlineLevel="0" max="17" min="16" style="0" width="14"/>
    <col collapsed="false" customWidth="true" hidden="false" outlineLevel="0" max="18" min="18" style="0" width="11"/>
    <col collapsed="false" customWidth="true" hidden="false" outlineLevel="0" max="19" min="19" style="0" width="42"/>
    <col collapsed="false" customWidth="true" hidden="false" outlineLevel="0" max="20" min="20" style="0" width="30"/>
    <col collapsed="false" customWidth="true" hidden="false" outlineLevel="0" max="21" min="21" style="0" width="26"/>
    <col collapsed="false" customWidth="true" hidden="false" outlineLevel="0" max="22" min="22" style="0" width="24"/>
    <col collapsed="false" customWidth="true" hidden="false" outlineLevel="0" max="23" min="23" style="0" width="30"/>
    <col collapsed="false" customWidth="true" hidden="false" outlineLevel="0" max="25" min="24" style="0" width="15"/>
    <col collapsed="false" customWidth="true" hidden="false" outlineLevel="0" max="26" min="26" style="0" width="34"/>
  </cols>
  <sheetData>
    <row r="1" customFormat="false" ht="24" hidden="false" customHeight="true" outlineLevel="0" collapsed="false">
      <c r="A1" s="1" t="s">
        <v>513</v>
      </c>
      <c r="B1" s="1"/>
      <c r="C1" s="1"/>
      <c r="D1" s="1"/>
      <c r="E1" s="1"/>
      <c r="F1" s="1"/>
      <c r="G1" s="1"/>
      <c r="H1" s="1"/>
      <c r="I1" s="1"/>
      <c r="J1" s="1"/>
      <c r="K1" s="1"/>
      <c r="L1" s="1"/>
      <c r="M1" s="1"/>
      <c r="N1" s="1"/>
      <c r="O1" s="1"/>
      <c r="P1" s="1"/>
      <c r="Q1" s="1"/>
      <c r="R1" s="1"/>
      <c r="S1" s="1"/>
      <c r="T1" s="1"/>
      <c r="U1" s="1"/>
      <c r="V1" s="1"/>
      <c r="W1" s="1"/>
      <c r="X1" s="1"/>
      <c r="Y1" s="1"/>
      <c r="Z1" s="1"/>
    </row>
    <row r="2" customFormat="false" ht="25.5" hidden="false" customHeight="true" outlineLevel="0" collapsed="false">
      <c r="A2" s="2" t="s">
        <v>514</v>
      </c>
      <c r="B2" s="2"/>
      <c r="C2" s="2"/>
      <c r="D2" s="2"/>
      <c r="E2" s="2"/>
      <c r="F2" s="2"/>
      <c r="G2" s="2"/>
      <c r="H2" s="2"/>
      <c r="I2" s="2"/>
      <c r="J2" s="2"/>
      <c r="K2" s="2"/>
      <c r="L2" s="2"/>
      <c r="M2" s="2"/>
      <c r="N2" s="2"/>
      <c r="O2" s="2"/>
      <c r="P2" s="2"/>
      <c r="Q2" s="2"/>
      <c r="R2" s="2"/>
      <c r="S2" s="2"/>
      <c r="T2" s="2"/>
      <c r="U2" s="2"/>
      <c r="V2" s="2"/>
      <c r="W2" s="2"/>
      <c r="X2" s="2"/>
      <c r="Y2" s="2"/>
      <c r="Z2" s="2"/>
    </row>
    <row r="4" customFormat="false" ht="30" hidden="false" customHeight="true" outlineLevel="0" collapsed="false">
      <c r="A4" s="12" t="s">
        <v>515</v>
      </c>
      <c r="B4" s="12" t="s">
        <v>516</v>
      </c>
      <c r="C4" s="12" t="s">
        <v>517</v>
      </c>
      <c r="D4" s="12" t="s">
        <v>49</v>
      </c>
      <c r="E4" s="12" t="s">
        <v>52</v>
      </c>
      <c r="F4" s="12" t="s">
        <v>518</v>
      </c>
      <c r="G4" s="12" t="s">
        <v>519</v>
      </c>
      <c r="H4" s="12" t="s">
        <v>75</v>
      </c>
      <c r="I4" s="12" t="s">
        <v>200</v>
      </c>
      <c r="J4" s="12" t="s">
        <v>206</v>
      </c>
      <c r="K4" s="12" t="s">
        <v>520</v>
      </c>
      <c r="L4" s="12" t="s">
        <v>521</v>
      </c>
      <c r="M4" s="12" t="s">
        <v>166</v>
      </c>
      <c r="N4" s="12" t="s">
        <v>522</v>
      </c>
      <c r="O4" s="12" t="s">
        <v>523</v>
      </c>
      <c r="P4" s="12" t="s">
        <v>524</v>
      </c>
      <c r="Q4" s="12" t="s">
        <v>525</v>
      </c>
      <c r="R4" s="12" t="s">
        <v>170</v>
      </c>
      <c r="S4" s="12" t="s">
        <v>526</v>
      </c>
      <c r="T4" s="12" t="s">
        <v>527</v>
      </c>
      <c r="U4" s="12" t="s">
        <v>528</v>
      </c>
      <c r="V4" s="12" t="s">
        <v>529</v>
      </c>
      <c r="W4" s="12" t="s">
        <v>530</v>
      </c>
      <c r="X4" s="12" t="s">
        <v>168</v>
      </c>
      <c r="Y4" s="12" t="s">
        <v>531</v>
      </c>
      <c r="Z4" s="12" t="s">
        <v>532</v>
      </c>
    </row>
    <row r="5" customFormat="false" ht="15" hidden="false" customHeight="false" outlineLevel="0" collapsed="false">
      <c r="A5" s="23" t="s">
        <v>533</v>
      </c>
      <c r="B5" s="23" t="s">
        <v>534</v>
      </c>
      <c r="C5" s="23" t="s">
        <v>535</v>
      </c>
      <c r="D5" s="23" t="s">
        <v>50</v>
      </c>
      <c r="E5" s="23" t="s">
        <v>53</v>
      </c>
      <c r="F5" s="23" t="s">
        <v>536</v>
      </c>
      <c r="G5" s="23" t="s">
        <v>537</v>
      </c>
      <c r="H5" s="23" t="s">
        <v>94</v>
      </c>
      <c r="I5" s="23" t="s">
        <v>384</v>
      </c>
      <c r="J5" s="23" t="s">
        <v>216</v>
      </c>
      <c r="K5" s="23" t="s">
        <v>538</v>
      </c>
      <c r="L5" s="23" t="s">
        <v>539</v>
      </c>
      <c r="M5" s="23" t="s">
        <v>540</v>
      </c>
      <c r="N5" s="23" t="n">
        <v>4</v>
      </c>
      <c r="O5" s="23" t="s">
        <v>539</v>
      </c>
      <c r="P5" s="23" t="s">
        <v>539</v>
      </c>
      <c r="Q5" s="23" t="s">
        <v>539</v>
      </c>
      <c r="R5" s="23" t="s">
        <v>541</v>
      </c>
      <c r="S5" s="23" t="s">
        <v>542</v>
      </c>
      <c r="T5" s="23" t="s">
        <v>543</v>
      </c>
      <c r="U5" s="23" t="s">
        <v>544</v>
      </c>
      <c r="V5" s="23" t="s">
        <v>543</v>
      </c>
      <c r="W5" s="23" t="s">
        <v>545</v>
      </c>
      <c r="X5" s="23" t="s">
        <v>546</v>
      </c>
      <c r="Y5" s="23" t="s">
        <v>547</v>
      </c>
      <c r="Z5" s="23" t="s">
        <v>548</v>
      </c>
    </row>
  </sheetData>
  <mergeCells count="2">
    <mergeCell ref="A1:Z1"/>
    <mergeCell ref="A2:Z2"/>
  </mergeCells>
  <dataValidations count="11">
    <dataValidation allowBlank="true" errorStyle="stop" operator="between" showDropDown="false" showErrorMessage="false" showInputMessage="false" sqref="F5:F1005" type="list">
      <formula1>"ChatGPT,Claude,Gemini,Google AI Overview,Perplexity"</formula1>
      <formula2>0</formula2>
    </dataValidation>
    <dataValidation allowBlank="true" errorStyle="stop" operator="between" showDropDown="false" showErrorMessage="false" showInputMessage="false" sqref="H5:H1005" type="list">
      <formula1>"Erkältung/Grippe,Husten/Hals,Schmerz/Fieber,Muskel/Gelenk,Magen/Darm,Vitamine/Mineralstoffe,Allergie,Haut/Wunde,Schlaf/Nerven,Augen"</formula1>
      <formula2>0</formula2>
    </dataValidation>
    <dataValidation allowBlank="true" errorStyle="stop" operator="between" showDropDown="false" showErrorMessage="false" showInputMessage="false" sqref="J5:J1005" type="list">
      <formula1>"ungestützt,gestützt"</formula1>
      <formula2>0</formula2>
    </dataValidation>
    <dataValidation allowBlank="true" errorStyle="stop" operator="between" showDropDown="false" showErrorMessage="false" showInputMessage="false" sqref="K5:K1005" type="list">
      <formula1>"Ja,Nein"</formula1>
      <formula2>0</formula2>
    </dataValidation>
    <dataValidation allowBlank="true" errorStyle="stop" operator="between" showDropDown="false" showErrorMessage="false" showInputMessage="false" sqref="L5:L1005" type="list">
      <formula1>"Ja,Nein"</formula1>
      <formula2>0</formula2>
    </dataValidation>
    <dataValidation allowBlank="true" errorStyle="stop" operator="between" showDropDown="false" showErrorMessage="false" showInputMessage="false" sqref="O5:O1005" type="list">
      <formula1>"Ja,Nein"</formula1>
      <formula2>0</formula2>
    </dataValidation>
    <dataValidation allowBlank="true" errorStyle="stop" operator="between" showDropDown="false" showErrorMessage="false" showInputMessage="false" sqref="P5:P1005" type="list">
      <formula1>"Ja,Nein"</formula1>
      <formula2>0</formula2>
    </dataValidation>
    <dataValidation allowBlank="true" errorStyle="stop" operator="between" showDropDown="false" showErrorMessage="false" showInputMessage="false" sqref="Q5:Q1005" type="list">
      <formula1>"Ja,Nein"</formula1>
      <formula2>0</formula2>
    </dataValidation>
    <dataValidation allowBlank="true" errorStyle="stop" operator="between" showDropDown="false" showErrorMessage="false" showInputMessage="false" sqref="R5:R1005" type="list">
      <formula1>"positiv,neutral,kritisch,–"</formula1>
      <formula2>0</formula2>
    </dataValidation>
    <dataValidation allowBlank="true" errorStyle="stop" operator="between" showDropDown="false" showErrorMessage="false" showInputMessage="false" sqref="X5:X1005" type="list">
      <formula1>"keine,schwach,mittel,stark,exklusiv"</formula1>
      <formula2>0</formula2>
    </dataValidation>
    <dataValidation allowBlank="true" errorStyle="stop" operator="between" showDropDown="false" showErrorMessage="false" showInputMessage="false" sqref="Y5:Y1005" type="list">
      <formula1>"sicher,teils sicher,unsicher,Warnzeichen fehlt"</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10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16"/>
    <col collapsed="false" customWidth="true" hidden="false" outlineLevel="0" max="4" min="3" style="0" width="15"/>
    <col collapsed="false" customWidth="true" hidden="false" outlineLevel="0" max="5" min="5" style="0" width="17"/>
    <col collapsed="false" customWidth="true" hidden="false" outlineLevel="0" max="6" min="6" style="0" width="15"/>
    <col collapsed="false" customWidth="true" hidden="false" outlineLevel="0" max="7" min="7" style="0" width="14"/>
    <col collapsed="false" customWidth="true" hidden="false" outlineLevel="0" max="8" min="8" style="0" width="12"/>
  </cols>
  <sheetData>
    <row r="1" customFormat="false" ht="24" hidden="false" customHeight="true" outlineLevel="0" collapsed="false">
      <c r="A1" s="1" t="s">
        <v>549</v>
      </c>
      <c r="B1" s="1"/>
      <c r="C1" s="1"/>
      <c r="D1" s="1"/>
      <c r="E1" s="1"/>
      <c r="F1" s="1"/>
      <c r="G1" s="1"/>
      <c r="H1" s="1"/>
    </row>
    <row r="2" customFormat="false" ht="25.5" hidden="false" customHeight="true" outlineLevel="0" collapsed="false">
      <c r="A2" s="2" t="s">
        <v>550</v>
      </c>
      <c r="B2" s="2"/>
      <c r="C2" s="2"/>
      <c r="D2" s="2"/>
      <c r="E2" s="2"/>
      <c r="F2" s="2"/>
      <c r="G2" s="2"/>
      <c r="H2" s="2"/>
    </row>
    <row r="4" customFormat="false" ht="15" hidden="false" customHeight="false" outlineLevel="0" collapsed="false">
      <c r="A4" s="8" t="s">
        <v>551</v>
      </c>
      <c r="B4" s="8"/>
      <c r="C4" s="8"/>
      <c r="D4" s="8"/>
      <c r="E4" s="8"/>
      <c r="F4" s="8"/>
      <c r="G4" s="8"/>
      <c r="H4" s="8"/>
    </row>
    <row r="5" customFormat="false" ht="30" hidden="false" customHeight="true" outlineLevel="0" collapsed="false">
      <c r="A5" s="12" t="s">
        <v>75</v>
      </c>
      <c r="B5" s="12" t="s">
        <v>536</v>
      </c>
      <c r="C5" s="12" t="s">
        <v>552</v>
      </c>
      <c r="D5" s="12" t="s">
        <v>553</v>
      </c>
      <c r="E5" s="12" t="s">
        <v>554</v>
      </c>
      <c r="F5" s="12" t="s">
        <v>555</v>
      </c>
      <c r="G5" s="12" t="s">
        <v>108</v>
      </c>
      <c r="H5" s="24"/>
    </row>
    <row r="6" customFormat="false" ht="15" hidden="false" customHeight="false" outlineLevel="0" collapsed="false">
      <c r="A6" s="16" t="s">
        <v>79</v>
      </c>
      <c r="B6" s="15" t="n">
        <f aca="false">COUNTIFS(Erhebungsbogen!$H$5:$H$2000,"Erkältung/Grippe",Erhebungsbogen!$F$5:$F$2000,"ChatGPT")</f>
        <v>0</v>
      </c>
      <c r="C6" s="15" t="n">
        <f aca="false">COUNTIFS(Erhebungsbogen!$H$5:$H$2000,"Erkältung/Grippe",Erhebungsbogen!$F$5:$F$2000,"Claude")</f>
        <v>0</v>
      </c>
      <c r="D6" s="15" t="n">
        <f aca="false">COUNTIFS(Erhebungsbogen!$H$5:$H$2000,"Erkältung/Grippe",Erhebungsbogen!$F$5:$F$2000,"Gemini")</f>
        <v>0</v>
      </c>
      <c r="E6" s="15" t="n">
        <f aca="false">COUNTIFS(Erhebungsbogen!$H$5:$H$2000,"Erkältung/Grippe",Erhebungsbogen!$F$5:$F$2000,"Google AI Overview")</f>
        <v>0</v>
      </c>
      <c r="F6" s="15" t="n">
        <f aca="false">COUNTIFS(Erhebungsbogen!$H$5:$H$2000,"Erkältung/Grippe",Erhebungsbogen!$F$5:$F$2000,"Perplexity")</f>
        <v>0</v>
      </c>
      <c r="G6" s="15" t="n">
        <f aca="false">COUNTIFS(Erhebungsbogen!$H$5:$H$2000,"Erkältung/Grippe")</f>
        <v>0</v>
      </c>
      <c r="H6" s="24"/>
    </row>
    <row r="7" customFormat="false" ht="15" hidden="false" customHeight="false" outlineLevel="0" collapsed="false">
      <c r="A7" s="16" t="s">
        <v>82</v>
      </c>
      <c r="B7" s="15" t="n">
        <f aca="false">COUNTIFS(Erhebungsbogen!$H$5:$H$2000,"Husten/Hals",Erhebungsbogen!$F$5:$F$2000,"ChatGPT")</f>
        <v>0</v>
      </c>
      <c r="C7" s="15" t="n">
        <f aca="false">COUNTIFS(Erhebungsbogen!$H$5:$H$2000,"Husten/Hals",Erhebungsbogen!$F$5:$F$2000,"Claude")</f>
        <v>0</v>
      </c>
      <c r="D7" s="15" t="n">
        <f aca="false">COUNTIFS(Erhebungsbogen!$H$5:$H$2000,"Husten/Hals",Erhebungsbogen!$F$5:$F$2000,"Gemini")</f>
        <v>0</v>
      </c>
      <c r="E7" s="15" t="n">
        <f aca="false">COUNTIFS(Erhebungsbogen!$H$5:$H$2000,"Husten/Hals",Erhebungsbogen!$F$5:$F$2000,"Google AI Overview")</f>
        <v>0</v>
      </c>
      <c r="F7" s="15" t="n">
        <f aca="false">COUNTIFS(Erhebungsbogen!$H$5:$H$2000,"Husten/Hals",Erhebungsbogen!$F$5:$F$2000,"Perplexity")</f>
        <v>0</v>
      </c>
      <c r="G7" s="15" t="n">
        <f aca="false">COUNTIFS(Erhebungsbogen!$H$5:$H$2000,"Husten/Hals")</f>
        <v>0</v>
      </c>
      <c r="H7" s="24"/>
    </row>
    <row r="8" customFormat="false" ht="15" hidden="false" customHeight="false" outlineLevel="0" collapsed="false">
      <c r="A8" s="16" t="s">
        <v>85</v>
      </c>
      <c r="B8" s="15" t="n">
        <f aca="false">COUNTIFS(Erhebungsbogen!$H$5:$H$2000,"Schmerz/Fieber",Erhebungsbogen!$F$5:$F$2000,"ChatGPT")</f>
        <v>0</v>
      </c>
      <c r="C8" s="15" t="n">
        <f aca="false">COUNTIFS(Erhebungsbogen!$H$5:$H$2000,"Schmerz/Fieber",Erhebungsbogen!$F$5:$F$2000,"Claude")</f>
        <v>0</v>
      </c>
      <c r="D8" s="15" t="n">
        <f aca="false">COUNTIFS(Erhebungsbogen!$H$5:$H$2000,"Schmerz/Fieber",Erhebungsbogen!$F$5:$F$2000,"Gemini")</f>
        <v>0</v>
      </c>
      <c r="E8" s="15" t="n">
        <f aca="false">COUNTIFS(Erhebungsbogen!$H$5:$H$2000,"Schmerz/Fieber",Erhebungsbogen!$F$5:$F$2000,"Google AI Overview")</f>
        <v>0</v>
      </c>
      <c r="F8" s="15" t="n">
        <f aca="false">COUNTIFS(Erhebungsbogen!$H$5:$H$2000,"Schmerz/Fieber",Erhebungsbogen!$F$5:$F$2000,"Perplexity")</f>
        <v>0</v>
      </c>
      <c r="G8" s="15" t="n">
        <f aca="false">COUNTIFS(Erhebungsbogen!$H$5:$H$2000,"Schmerz/Fieber")</f>
        <v>0</v>
      </c>
      <c r="H8" s="24"/>
    </row>
    <row r="9" customFormat="false" ht="15" hidden="false" customHeight="false" outlineLevel="0" collapsed="false">
      <c r="A9" s="16" t="s">
        <v>88</v>
      </c>
      <c r="B9" s="15" t="n">
        <f aca="false">COUNTIFS(Erhebungsbogen!$H$5:$H$2000,"Muskel/Gelenk",Erhebungsbogen!$F$5:$F$2000,"ChatGPT")</f>
        <v>0</v>
      </c>
      <c r="C9" s="15" t="n">
        <f aca="false">COUNTIFS(Erhebungsbogen!$H$5:$H$2000,"Muskel/Gelenk",Erhebungsbogen!$F$5:$F$2000,"Claude")</f>
        <v>0</v>
      </c>
      <c r="D9" s="15" t="n">
        <f aca="false">COUNTIFS(Erhebungsbogen!$H$5:$H$2000,"Muskel/Gelenk",Erhebungsbogen!$F$5:$F$2000,"Gemini")</f>
        <v>0</v>
      </c>
      <c r="E9" s="15" t="n">
        <f aca="false">COUNTIFS(Erhebungsbogen!$H$5:$H$2000,"Muskel/Gelenk",Erhebungsbogen!$F$5:$F$2000,"Google AI Overview")</f>
        <v>0</v>
      </c>
      <c r="F9" s="15" t="n">
        <f aca="false">COUNTIFS(Erhebungsbogen!$H$5:$H$2000,"Muskel/Gelenk",Erhebungsbogen!$F$5:$F$2000,"Perplexity")</f>
        <v>0</v>
      </c>
      <c r="G9" s="15" t="n">
        <f aca="false">COUNTIFS(Erhebungsbogen!$H$5:$H$2000,"Muskel/Gelenk")</f>
        <v>0</v>
      </c>
      <c r="H9" s="24"/>
    </row>
    <row r="10" customFormat="false" ht="15" hidden="false" customHeight="false" outlineLevel="0" collapsed="false">
      <c r="A10" s="16" t="s">
        <v>91</v>
      </c>
      <c r="B10" s="15" t="n">
        <f aca="false">COUNTIFS(Erhebungsbogen!$H$5:$H$2000,"Magen/Darm",Erhebungsbogen!$F$5:$F$2000,"ChatGPT")</f>
        <v>0</v>
      </c>
      <c r="C10" s="15" t="n">
        <f aca="false">COUNTIFS(Erhebungsbogen!$H$5:$H$2000,"Magen/Darm",Erhebungsbogen!$F$5:$F$2000,"Claude")</f>
        <v>0</v>
      </c>
      <c r="D10" s="15" t="n">
        <f aca="false">COUNTIFS(Erhebungsbogen!$H$5:$H$2000,"Magen/Darm",Erhebungsbogen!$F$5:$F$2000,"Gemini")</f>
        <v>0</v>
      </c>
      <c r="E10" s="15" t="n">
        <f aca="false">COUNTIFS(Erhebungsbogen!$H$5:$H$2000,"Magen/Darm",Erhebungsbogen!$F$5:$F$2000,"Google AI Overview")</f>
        <v>0</v>
      </c>
      <c r="F10" s="15" t="n">
        <f aca="false">COUNTIFS(Erhebungsbogen!$H$5:$H$2000,"Magen/Darm",Erhebungsbogen!$F$5:$F$2000,"Perplexity")</f>
        <v>0</v>
      </c>
      <c r="G10" s="15" t="n">
        <f aca="false">COUNTIFS(Erhebungsbogen!$H$5:$H$2000,"Magen/Darm")</f>
        <v>0</v>
      </c>
      <c r="H10" s="24"/>
    </row>
    <row r="11" customFormat="false" ht="15" hidden="false" customHeight="false" outlineLevel="0" collapsed="false">
      <c r="A11" s="16" t="s">
        <v>94</v>
      </c>
      <c r="B11" s="15" t="n">
        <f aca="false">COUNTIFS(Erhebungsbogen!$H$5:$H$2000,"Vitamine/Mineralstoffe",Erhebungsbogen!$F$5:$F$2000,"ChatGPT")</f>
        <v>1</v>
      </c>
      <c r="C11" s="15" t="n">
        <f aca="false">COUNTIFS(Erhebungsbogen!$H$5:$H$2000,"Vitamine/Mineralstoffe",Erhebungsbogen!$F$5:$F$2000,"Claude")</f>
        <v>0</v>
      </c>
      <c r="D11" s="15" t="n">
        <f aca="false">COUNTIFS(Erhebungsbogen!$H$5:$H$2000,"Vitamine/Mineralstoffe",Erhebungsbogen!$F$5:$F$2000,"Gemini")</f>
        <v>0</v>
      </c>
      <c r="E11" s="15" t="n">
        <f aca="false">COUNTIFS(Erhebungsbogen!$H$5:$H$2000,"Vitamine/Mineralstoffe",Erhebungsbogen!$F$5:$F$2000,"Google AI Overview")</f>
        <v>0</v>
      </c>
      <c r="F11" s="15" t="n">
        <f aca="false">COUNTIFS(Erhebungsbogen!$H$5:$H$2000,"Vitamine/Mineralstoffe",Erhebungsbogen!$F$5:$F$2000,"Perplexity")</f>
        <v>0</v>
      </c>
      <c r="G11" s="15" t="n">
        <f aca="false">COUNTIFS(Erhebungsbogen!$H$5:$H$2000,"Vitamine/Mineralstoffe")</f>
        <v>1</v>
      </c>
      <c r="H11" s="24"/>
    </row>
    <row r="12" customFormat="false" ht="15" hidden="false" customHeight="false" outlineLevel="0" collapsed="false">
      <c r="A12" s="16" t="s">
        <v>97</v>
      </c>
      <c r="B12" s="15" t="n">
        <f aca="false">COUNTIFS(Erhebungsbogen!$H$5:$H$2000,"Allergie",Erhebungsbogen!$F$5:$F$2000,"ChatGPT")</f>
        <v>0</v>
      </c>
      <c r="C12" s="15" t="n">
        <f aca="false">COUNTIFS(Erhebungsbogen!$H$5:$H$2000,"Allergie",Erhebungsbogen!$F$5:$F$2000,"Claude")</f>
        <v>0</v>
      </c>
      <c r="D12" s="15" t="n">
        <f aca="false">COUNTIFS(Erhebungsbogen!$H$5:$H$2000,"Allergie",Erhebungsbogen!$F$5:$F$2000,"Gemini")</f>
        <v>0</v>
      </c>
      <c r="E12" s="15" t="n">
        <f aca="false">COUNTIFS(Erhebungsbogen!$H$5:$H$2000,"Allergie",Erhebungsbogen!$F$5:$F$2000,"Google AI Overview")</f>
        <v>0</v>
      </c>
      <c r="F12" s="15" t="n">
        <f aca="false">COUNTIFS(Erhebungsbogen!$H$5:$H$2000,"Allergie",Erhebungsbogen!$F$5:$F$2000,"Perplexity")</f>
        <v>0</v>
      </c>
      <c r="G12" s="15" t="n">
        <f aca="false">COUNTIFS(Erhebungsbogen!$H$5:$H$2000,"Allergie")</f>
        <v>0</v>
      </c>
      <c r="H12" s="24"/>
    </row>
    <row r="13" customFormat="false" ht="15" hidden="false" customHeight="false" outlineLevel="0" collapsed="false">
      <c r="A13" s="16" t="s">
        <v>100</v>
      </c>
      <c r="B13" s="15" t="n">
        <f aca="false">COUNTIFS(Erhebungsbogen!$H$5:$H$2000,"Haut/Wunde",Erhebungsbogen!$F$5:$F$2000,"ChatGPT")</f>
        <v>0</v>
      </c>
      <c r="C13" s="15" t="n">
        <f aca="false">COUNTIFS(Erhebungsbogen!$H$5:$H$2000,"Haut/Wunde",Erhebungsbogen!$F$5:$F$2000,"Claude")</f>
        <v>0</v>
      </c>
      <c r="D13" s="15" t="n">
        <f aca="false">COUNTIFS(Erhebungsbogen!$H$5:$H$2000,"Haut/Wunde",Erhebungsbogen!$F$5:$F$2000,"Gemini")</f>
        <v>0</v>
      </c>
      <c r="E13" s="15" t="n">
        <f aca="false">COUNTIFS(Erhebungsbogen!$H$5:$H$2000,"Haut/Wunde",Erhebungsbogen!$F$5:$F$2000,"Google AI Overview")</f>
        <v>0</v>
      </c>
      <c r="F13" s="15" t="n">
        <f aca="false">COUNTIFS(Erhebungsbogen!$H$5:$H$2000,"Haut/Wunde",Erhebungsbogen!$F$5:$F$2000,"Perplexity")</f>
        <v>0</v>
      </c>
      <c r="G13" s="15" t="n">
        <f aca="false">COUNTIFS(Erhebungsbogen!$H$5:$H$2000,"Haut/Wunde")</f>
        <v>0</v>
      </c>
      <c r="H13" s="24"/>
    </row>
    <row r="14" customFormat="false" ht="15" hidden="false" customHeight="false" outlineLevel="0" collapsed="false">
      <c r="A14" s="16" t="s">
        <v>103</v>
      </c>
      <c r="B14" s="15" t="n">
        <f aca="false">COUNTIFS(Erhebungsbogen!$H$5:$H$2000,"Schlaf/Nerven",Erhebungsbogen!$F$5:$F$2000,"ChatGPT")</f>
        <v>0</v>
      </c>
      <c r="C14" s="15" t="n">
        <f aca="false">COUNTIFS(Erhebungsbogen!$H$5:$H$2000,"Schlaf/Nerven",Erhebungsbogen!$F$5:$F$2000,"Claude")</f>
        <v>0</v>
      </c>
      <c r="D14" s="15" t="n">
        <f aca="false">COUNTIFS(Erhebungsbogen!$H$5:$H$2000,"Schlaf/Nerven",Erhebungsbogen!$F$5:$F$2000,"Gemini")</f>
        <v>0</v>
      </c>
      <c r="E14" s="15" t="n">
        <f aca="false">COUNTIFS(Erhebungsbogen!$H$5:$H$2000,"Schlaf/Nerven",Erhebungsbogen!$F$5:$F$2000,"Google AI Overview")</f>
        <v>0</v>
      </c>
      <c r="F14" s="15" t="n">
        <f aca="false">COUNTIFS(Erhebungsbogen!$H$5:$H$2000,"Schlaf/Nerven",Erhebungsbogen!$F$5:$F$2000,"Perplexity")</f>
        <v>0</v>
      </c>
      <c r="G14" s="15" t="n">
        <f aca="false">COUNTIFS(Erhebungsbogen!$H$5:$H$2000,"Schlaf/Nerven")</f>
        <v>0</v>
      </c>
      <c r="H14" s="24"/>
    </row>
    <row r="15" customFormat="false" ht="15" hidden="false" customHeight="false" outlineLevel="0" collapsed="false">
      <c r="A15" s="16" t="s">
        <v>106</v>
      </c>
      <c r="B15" s="15" t="n">
        <f aca="false">COUNTIFS(Erhebungsbogen!$H$5:$H$2000,"Augen",Erhebungsbogen!$F$5:$F$2000,"ChatGPT")</f>
        <v>0</v>
      </c>
      <c r="C15" s="15" t="n">
        <f aca="false">COUNTIFS(Erhebungsbogen!$H$5:$H$2000,"Augen",Erhebungsbogen!$F$5:$F$2000,"Claude")</f>
        <v>0</v>
      </c>
      <c r="D15" s="15" t="n">
        <f aca="false">COUNTIFS(Erhebungsbogen!$H$5:$H$2000,"Augen",Erhebungsbogen!$F$5:$F$2000,"Gemini")</f>
        <v>0</v>
      </c>
      <c r="E15" s="15" t="n">
        <f aca="false">COUNTIFS(Erhebungsbogen!$H$5:$H$2000,"Augen",Erhebungsbogen!$F$5:$F$2000,"Google AI Overview")</f>
        <v>0</v>
      </c>
      <c r="F15" s="15" t="n">
        <f aca="false">COUNTIFS(Erhebungsbogen!$H$5:$H$2000,"Augen",Erhebungsbogen!$F$5:$F$2000,"Perplexity")</f>
        <v>0</v>
      </c>
      <c r="G15" s="15" t="n">
        <f aca="false">COUNTIFS(Erhebungsbogen!$H$5:$H$2000,"Augen")</f>
        <v>0</v>
      </c>
      <c r="H15" s="24"/>
    </row>
    <row r="16" customFormat="false" ht="15" hidden="false" customHeight="false" outlineLevel="0" collapsed="false">
      <c r="A16" s="16" t="s">
        <v>108</v>
      </c>
      <c r="B16" s="16" t="n">
        <f aca="false">COUNTIFS(Erhebungsbogen!$F$5:$F$2000,"ChatGPT")</f>
        <v>1</v>
      </c>
      <c r="C16" s="16" t="n">
        <f aca="false">COUNTIFS(Erhebungsbogen!$F$5:$F$2000,"Claude")</f>
        <v>0</v>
      </c>
      <c r="D16" s="16" t="n">
        <f aca="false">COUNTIFS(Erhebungsbogen!$F$5:$F$2000,"Gemini")</f>
        <v>0</v>
      </c>
      <c r="E16" s="16" t="n">
        <f aca="false">COUNTIFS(Erhebungsbogen!$F$5:$F$2000,"Google AI Overview")</f>
        <v>0</v>
      </c>
      <c r="F16" s="16" t="n">
        <f aca="false">COUNTIFS(Erhebungsbogen!$F$5:$F$2000,"Perplexity")</f>
        <v>0</v>
      </c>
      <c r="G16" s="16" t="n">
        <f aca="false">COUNTA(Erhebungsbogen!$A$5:$A$2000)</f>
        <v>1</v>
      </c>
      <c r="H16" s="24"/>
    </row>
    <row r="18" customFormat="false" ht="15" hidden="false" customHeight="false" outlineLevel="0" collapsed="false">
      <c r="A18" s="8" t="s">
        <v>556</v>
      </c>
      <c r="B18" s="8"/>
      <c r="C18" s="8"/>
      <c r="D18" s="8"/>
      <c r="E18" s="8"/>
      <c r="F18" s="8"/>
      <c r="G18" s="8"/>
      <c r="H18" s="8"/>
    </row>
    <row r="19" customFormat="false" ht="30" hidden="false" customHeight="true" outlineLevel="0" collapsed="false">
      <c r="A19" s="12" t="s">
        <v>75</v>
      </c>
      <c r="B19" s="12" t="s">
        <v>557</v>
      </c>
      <c r="C19" s="12" t="s">
        <v>127</v>
      </c>
      <c r="D19" s="12" t="s">
        <v>558</v>
      </c>
      <c r="E19" s="12" t="s">
        <v>559</v>
      </c>
      <c r="F19" s="12" t="s">
        <v>137</v>
      </c>
      <c r="G19" s="12" t="s">
        <v>560</v>
      </c>
      <c r="H19" s="12" t="s">
        <v>561</v>
      </c>
    </row>
    <row r="20" customFormat="false" ht="15" hidden="false" customHeight="false" outlineLevel="0" collapsed="false">
      <c r="A20" s="16" t="s">
        <v>79</v>
      </c>
      <c r="B20" s="15" t="n">
        <f aca="false">COUNTIFS(Erhebungsbogen!$H$5:$H$2000,"Erkältung/Grippe")</f>
        <v>0</v>
      </c>
      <c r="C20" s="25" t="str">
        <f aca="false">IFERROR(COUNTIFS(Erhebungsbogen!$K$5:$K$2000,"Ja",Erhebungsbogen!$H$5:$H$2000,"Erkältung/Grippe")/COUNTIFS(Erhebungsbogen!$H$5:$H$2000,"Erkältung/Grippe"),"–")</f>
        <v>–</v>
      </c>
      <c r="D20" s="25" t="str">
        <f aca="false">IFERROR(COUNTIFS(Erhebungsbogen!$L$5:$L$2000,"Ja",Erhebungsbogen!$H$5:$H$2000,"Erkältung/Grippe")/COUNTIFS(Erhebungsbogen!$H$5:$H$2000,"Erkältung/Grippe"),"–")</f>
        <v>–</v>
      </c>
      <c r="E20" s="25" t="str">
        <f aca="false">IFERROR(COUNTIFS(Erhebungsbogen!$O$5:$O$2000,"Ja",Erhebungsbogen!$H$5:$H$2000,"Erkältung/Grippe")/COUNTIFS(Erhebungsbogen!$H$5:$H$2000,"Erkältung/Grippe"),"–")</f>
        <v>–</v>
      </c>
      <c r="F20" s="25" t="str">
        <f aca="false">IFERROR(COUNTIFS(Erhebungsbogen!$Q$5:$Q$2000,"Ja",Erhebungsbogen!$H$5:$H$2000,"Erkältung/Grippe")/COUNTIFS(Erhebungsbogen!$H$5:$H$2000,"Erkältung/Grippe"),"–")</f>
        <v>–</v>
      </c>
      <c r="G20" s="25" t="str">
        <f aca="false">IFERROR(COUNTIFS(Erhebungsbogen!$P$5:$P$2000,"Ja",Erhebungsbogen!$H$5:$H$2000,"Erkältung/Grippe")/COUNTIFS(Erhebungsbogen!$H$5:$H$2000,"Erkältung/Grippe"),"–")</f>
        <v>–</v>
      </c>
      <c r="H20" s="26" t="str">
        <f aca="false">IFERROR(AVERAGEIFS(Erhebungsbogen!$N$5:$N$2000,Erhebungsbogen!$K$5:$K$2000,"Ja",Erhebungsbogen!$H$5:$H$2000,"Erkältung/Grippe"),"–")</f>
        <v>–</v>
      </c>
    </row>
    <row r="21" customFormat="false" ht="15" hidden="false" customHeight="false" outlineLevel="0" collapsed="false">
      <c r="A21" s="16" t="s">
        <v>82</v>
      </c>
      <c r="B21" s="15" t="n">
        <f aca="false">COUNTIFS(Erhebungsbogen!$H$5:$H$2000,"Husten/Hals")</f>
        <v>0</v>
      </c>
      <c r="C21" s="25" t="str">
        <f aca="false">IFERROR(COUNTIFS(Erhebungsbogen!$K$5:$K$2000,"Ja",Erhebungsbogen!$H$5:$H$2000,"Husten/Hals")/COUNTIFS(Erhebungsbogen!$H$5:$H$2000,"Husten/Hals"),"–")</f>
        <v>–</v>
      </c>
      <c r="D21" s="25" t="str">
        <f aca="false">IFERROR(COUNTIFS(Erhebungsbogen!$L$5:$L$2000,"Ja",Erhebungsbogen!$H$5:$H$2000,"Husten/Hals")/COUNTIFS(Erhebungsbogen!$H$5:$H$2000,"Husten/Hals"),"–")</f>
        <v>–</v>
      </c>
      <c r="E21" s="25" t="str">
        <f aca="false">IFERROR(COUNTIFS(Erhebungsbogen!$O$5:$O$2000,"Ja",Erhebungsbogen!$H$5:$H$2000,"Husten/Hals")/COUNTIFS(Erhebungsbogen!$H$5:$H$2000,"Husten/Hals"),"–")</f>
        <v>–</v>
      </c>
      <c r="F21" s="25" t="str">
        <f aca="false">IFERROR(COUNTIFS(Erhebungsbogen!$Q$5:$Q$2000,"Ja",Erhebungsbogen!$H$5:$H$2000,"Husten/Hals")/COUNTIFS(Erhebungsbogen!$H$5:$H$2000,"Husten/Hals"),"–")</f>
        <v>–</v>
      </c>
      <c r="G21" s="25" t="str">
        <f aca="false">IFERROR(COUNTIFS(Erhebungsbogen!$P$5:$P$2000,"Ja",Erhebungsbogen!$H$5:$H$2000,"Husten/Hals")/COUNTIFS(Erhebungsbogen!$H$5:$H$2000,"Husten/Hals"),"–")</f>
        <v>–</v>
      </c>
      <c r="H21" s="26" t="str">
        <f aca="false">IFERROR(AVERAGEIFS(Erhebungsbogen!$N$5:$N$2000,Erhebungsbogen!$K$5:$K$2000,"Ja",Erhebungsbogen!$H$5:$H$2000,"Husten/Hals"),"–")</f>
        <v>–</v>
      </c>
    </row>
    <row r="22" customFormat="false" ht="15" hidden="false" customHeight="false" outlineLevel="0" collapsed="false">
      <c r="A22" s="16" t="s">
        <v>85</v>
      </c>
      <c r="B22" s="15" t="n">
        <f aca="false">COUNTIFS(Erhebungsbogen!$H$5:$H$2000,"Schmerz/Fieber")</f>
        <v>0</v>
      </c>
      <c r="C22" s="25" t="str">
        <f aca="false">IFERROR(COUNTIFS(Erhebungsbogen!$K$5:$K$2000,"Ja",Erhebungsbogen!$H$5:$H$2000,"Schmerz/Fieber")/COUNTIFS(Erhebungsbogen!$H$5:$H$2000,"Schmerz/Fieber"),"–")</f>
        <v>–</v>
      </c>
      <c r="D22" s="25" t="str">
        <f aca="false">IFERROR(COUNTIFS(Erhebungsbogen!$L$5:$L$2000,"Ja",Erhebungsbogen!$H$5:$H$2000,"Schmerz/Fieber")/COUNTIFS(Erhebungsbogen!$H$5:$H$2000,"Schmerz/Fieber"),"–")</f>
        <v>–</v>
      </c>
      <c r="E22" s="25" t="str">
        <f aca="false">IFERROR(COUNTIFS(Erhebungsbogen!$O$5:$O$2000,"Ja",Erhebungsbogen!$H$5:$H$2000,"Schmerz/Fieber")/COUNTIFS(Erhebungsbogen!$H$5:$H$2000,"Schmerz/Fieber"),"–")</f>
        <v>–</v>
      </c>
      <c r="F22" s="25" t="str">
        <f aca="false">IFERROR(COUNTIFS(Erhebungsbogen!$Q$5:$Q$2000,"Ja",Erhebungsbogen!$H$5:$H$2000,"Schmerz/Fieber")/COUNTIFS(Erhebungsbogen!$H$5:$H$2000,"Schmerz/Fieber"),"–")</f>
        <v>–</v>
      </c>
      <c r="G22" s="25" t="str">
        <f aca="false">IFERROR(COUNTIFS(Erhebungsbogen!$P$5:$P$2000,"Ja",Erhebungsbogen!$H$5:$H$2000,"Schmerz/Fieber")/COUNTIFS(Erhebungsbogen!$H$5:$H$2000,"Schmerz/Fieber"),"–")</f>
        <v>–</v>
      </c>
      <c r="H22" s="26" t="str">
        <f aca="false">IFERROR(AVERAGEIFS(Erhebungsbogen!$N$5:$N$2000,Erhebungsbogen!$K$5:$K$2000,"Ja",Erhebungsbogen!$H$5:$H$2000,"Schmerz/Fieber"),"–")</f>
        <v>–</v>
      </c>
    </row>
    <row r="23" customFormat="false" ht="15" hidden="false" customHeight="false" outlineLevel="0" collapsed="false">
      <c r="A23" s="16" t="s">
        <v>88</v>
      </c>
      <c r="B23" s="15" t="n">
        <f aca="false">COUNTIFS(Erhebungsbogen!$H$5:$H$2000,"Muskel/Gelenk")</f>
        <v>0</v>
      </c>
      <c r="C23" s="25" t="str">
        <f aca="false">IFERROR(COUNTIFS(Erhebungsbogen!$K$5:$K$2000,"Ja",Erhebungsbogen!$H$5:$H$2000,"Muskel/Gelenk")/COUNTIFS(Erhebungsbogen!$H$5:$H$2000,"Muskel/Gelenk"),"–")</f>
        <v>–</v>
      </c>
      <c r="D23" s="25" t="str">
        <f aca="false">IFERROR(COUNTIFS(Erhebungsbogen!$L$5:$L$2000,"Ja",Erhebungsbogen!$H$5:$H$2000,"Muskel/Gelenk")/COUNTIFS(Erhebungsbogen!$H$5:$H$2000,"Muskel/Gelenk"),"–")</f>
        <v>–</v>
      </c>
      <c r="E23" s="25" t="str">
        <f aca="false">IFERROR(COUNTIFS(Erhebungsbogen!$O$5:$O$2000,"Ja",Erhebungsbogen!$H$5:$H$2000,"Muskel/Gelenk")/COUNTIFS(Erhebungsbogen!$H$5:$H$2000,"Muskel/Gelenk"),"–")</f>
        <v>–</v>
      </c>
      <c r="F23" s="25" t="str">
        <f aca="false">IFERROR(COUNTIFS(Erhebungsbogen!$Q$5:$Q$2000,"Ja",Erhebungsbogen!$H$5:$H$2000,"Muskel/Gelenk")/COUNTIFS(Erhebungsbogen!$H$5:$H$2000,"Muskel/Gelenk"),"–")</f>
        <v>–</v>
      </c>
      <c r="G23" s="25" t="str">
        <f aca="false">IFERROR(COUNTIFS(Erhebungsbogen!$P$5:$P$2000,"Ja",Erhebungsbogen!$H$5:$H$2000,"Muskel/Gelenk")/COUNTIFS(Erhebungsbogen!$H$5:$H$2000,"Muskel/Gelenk"),"–")</f>
        <v>–</v>
      </c>
      <c r="H23" s="26" t="str">
        <f aca="false">IFERROR(AVERAGEIFS(Erhebungsbogen!$N$5:$N$2000,Erhebungsbogen!$K$5:$K$2000,"Ja",Erhebungsbogen!$H$5:$H$2000,"Muskel/Gelenk"),"–")</f>
        <v>–</v>
      </c>
    </row>
    <row r="24" customFormat="false" ht="15" hidden="false" customHeight="false" outlineLevel="0" collapsed="false">
      <c r="A24" s="16" t="s">
        <v>91</v>
      </c>
      <c r="B24" s="15" t="n">
        <f aca="false">COUNTIFS(Erhebungsbogen!$H$5:$H$2000,"Magen/Darm")</f>
        <v>0</v>
      </c>
      <c r="C24" s="25" t="str">
        <f aca="false">IFERROR(COUNTIFS(Erhebungsbogen!$K$5:$K$2000,"Ja",Erhebungsbogen!$H$5:$H$2000,"Magen/Darm")/COUNTIFS(Erhebungsbogen!$H$5:$H$2000,"Magen/Darm"),"–")</f>
        <v>–</v>
      </c>
      <c r="D24" s="25" t="str">
        <f aca="false">IFERROR(COUNTIFS(Erhebungsbogen!$L$5:$L$2000,"Ja",Erhebungsbogen!$H$5:$H$2000,"Magen/Darm")/COUNTIFS(Erhebungsbogen!$H$5:$H$2000,"Magen/Darm"),"–")</f>
        <v>–</v>
      </c>
      <c r="E24" s="25" t="str">
        <f aca="false">IFERROR(COUNTIFS(Erhebungsbogen!$O$5:$O$2000,"Ja",Erhebungsbogen!$H$5:$H$2000,"Magen/Darm")/COUNTIFS(Erhebungsbogen!$H$5:$H$2000,"Magen/Darm"),"–")</f>
        <v>–</v>
      </c>
      <c r="F24" s="25" t="str">
        <f aca="false">IFERROR(COUNTIFS(Erhebungsbogen!$Q$5:$Q$2000,"Ja",Erhebungsbogen!$H$5:$H$2000,"Magen/Darm")/COUNTIFS(Erhebungsbogen!$H$5:$H$2000,"Magen/Darm"),"–")</f>
        <v>–</v>
      </c>
      <c r="G24" s="25" t="str">
        <f aca="false">IFERROR(COUNTIFS(Erhebungsbogen!$P$5:$P$2000,"Ja",Erhebungsbogen!$H$5:$H$2000,"Magen/Darm")/COUNTIFS(Erhebungsbogen!$H$5:$H$2000,"Magen/Darm"),"–")</f>
        <v>–</v>
      </c>
      <c r="H24" s="26" t="str">
        <f aca="false">IFERROR(AVERAGEIFS(Erhebungsbogen!$N$5:$N$2000,Erhebungsbogen!$K$5:$K$2000,"Ja",Erhebungsbogen!$H$5:$H$2000,"Magen/Darm"),"–")</f>
        <v>–</v>
      </c>
    </row>
    <row r="25" customFormat="false" ht="15" hidden="false" customHeight="false" outlineLevel="0" collapsed="false">
      <c r="A25" s="16" t="s">
        <v>94</v>
      </c>
      <c r="B25" s="15" t="n">
        <f aca="false">COUNTIFS(Erhebungsbogen!$H$5:$H$2000,"Vitamine/Mineralstoffe")</f>
        <v>1</v>
      </c>
      <c r="C25" s="25" t="n">
        <f aca="false">IFERROR(COUNTIFS(Erhebungsbogen!$K$5:$K$2000,"Ja",Erhebungsbogen!$H$5:$H$2000,"Vitamine/Mineralstoffe")/COUNTIFS(Erhebungsbogen!$H$5:$H$2000,"Vitamine/Mineralstoffe"),"–")</f>
        <v>1</v>
      </c>
      <c r="D25" s="25" t="n">
        <f aca="false">IFERROR(COUNTIFS(Erhebungsbogen!$L$5:$L$2000,"Ja",Erhebungsbogen!$H$5:$H$2000,"Vitamine/Mineralstoffe")/COUNTIFS(Erhebungsbogen!$H$5:$H$2000,"Vitamine/Mineralstoffe"),"–")</f>
        <v>0</v>
      </c>
      <c r="E25" s="25" t="n">
        <f aca="false">IFERROR(COUNTIFS(Erhebungsbogen!$O$5:$O$2000,"Ja",Erhebungsbogen!$H$5:$H$2000,"Vitamine/Mineralstoffe")/COUNTIFS(Erhebungsbogen!$H$5:$H$2000,"Vitamine/Mineralstoffe"),"–")</f>
        <v>0</v>
      </c>
      <c r="F25" s="25" t="n">
        <f aca="false">IFERROR(COUNTIFS(Erhebungsbogen!$Q$5:$Q$2000,"Ja",Erhebungsbogen!$H$5:$H$2000,"Vitamine/Mineralstoffe")/COUNTIFS(Erhebungsbogen!$H$5:$H$2000,"Vitamine/Mineralstoffe"),"–")</f>
        <v>0</v>
      </c>
      <c r="G25" s="25" t="n">
        <f aca="false">IFERROR(COUNTIFS(Erhebungsbogen!$P$5:$P$2000,"Ja",Erhebungsbogen!$H$5:$H$2000,"Vitamine/Mineralstoffe")/COUNTIFS(Erhebungsbogen!$H$5:$H$2000,"Vitamine/Mineralstoffe"),"–")</f>
        <v>0</v>
      </c>
      <c r="H25" s="26" t="n">
        <f aca="false">IFERROR(AVERAGEIFS(Erhebungsbogen!$N$5:$N$2000,Erhebungsbogen!$K$5:$K$2000,"Ja",Erhebungsbogen!$H$5:$H$2000,"Vitamine/Mineralstoffe"),"–")</f>
        <v>4</v>
      </c>
    </row>
    <row r="26" customFormat="false" ht="15" hidden="false" customHeight="false" outlineLevel="0" collapsed="false">
      <c r="A26" s="16" t="s">
        <v>97</v>
      </c>
      <c r="B26" s="15" t="n">
        <f aca="false">COUNTIFS(Erhebungsbogen!$H$5:$H$2000,"Allergie")</f>
        <v>0</v>
      </c>
      <c r="C26" s="25" t="str">
        <f aca="false">IFERROR(COUNTIFS(Erhebungsbogen!$K$5:$K$2000,"Ja",Erhebungsbogen!$H$5:$H$2000,"Allergie")/COUNTIFS(Erhebungsbogen!$H$5:$H$2000,"Allergie"),"–")</f>
        <v>–</v>
      </c>
      <c r="D26" s="25" t="str">
        <f aca="false">IFERROR(COUNTIFS(Erhebungsbogen!$L$5:$L$2000,"Ja",Erhebungsbogen!$H$5:$H$2000,"Allergie")/COUNTIFS(Erhebungsbogen!$H$5:$H$2000,"Allergie"),"–")</f>
        <v>–</v>
      </c>
      <c r="E26" s="25" t="str">
        <f aca="false">IFERROR(COUNTIFS(Erhebungsbogen!$O$5:$O$2000,"Ja",Erhebungsbogen!$H$5:$H$2000,"Allergie")/COUNTIFS(Erhebungsbogen!$H$5:$H$2000,"Allergie"),"–")</f>
        <v>–</v>
      </c>
      <c r="F26" s="25" t="str">
        <f aca="false">IFERROR(COUNTIFS(Erhebungsbogen!$Q$5:$Q$2000,"Ja",Erhebungsbogen!$H$5:$H$2000,"Allergie")/COUNTIFS(Erhebungsbogen!$H$5:$H$2000,"Allergie"),"–")</f>
        <v>–</v>
      </c>
      <c r="G26" s="25" t="str">
        <f aca="false">IFERROR(COUNTIFS(Erhebungsbogen!$P$5:$P$2000,"Ja",Erhebungsbogen!$H$5:$H$2000,"Allergie")/COUNTIFS(Erhebungsbogen!$H$5:$H$2000,"Allergie"),"–")</f>
        <v>–</v>
      </c>
      <c r="H26" s="26" t="str">
        <f aca="false">IFERROR(AVERAGEIFS(Erhebungsbogen!$N$5:$N$2000,Erhebungsbogen!$K$5:$K$2000,"Ja",Erhebungsbogen!$H$5:$H$2000,"Allergie"),"–")</f>
        <v>–</v>
      </c>
    </row>
    <row r="27" customFormat="false" ht="15" hidden="false" customHeight="false" outlineLevel="0" collapsed="false">
      <c r="A27" s="16" t="s">
        <v>100</v>
      </c>
      <c r="B27" s="15" t="n">
        <f aca="false">COUNTIFS(Erhebungsbogen!$H$5:$H$2000,"Haut/Wunde")</f>
        <v>0</v>
      </c>
      <c r="C27" s="25" t="str">
        <f aca="false">IFERROR(COUNTIFS(Erhebungsbogen!$K$5:$K$2000,"Ja",Erhebungsbogen!$H$5:$H$2000,"Haut/Wunde")/COUNTIFS(Erhebungsbogen!$H$5:$H$2000,"Haut/Wunde"),"–")</f>
        <v>–</v>
      </c>
      <c r="D27" s="25" t="str">
        <f aca="false">IFERROR(COUNTIFS(Erhebungsbogen!$L$5:$L$2000,"Ja",Erhebungsbogen!$H$5:$H$2000,"Haut/Wunde")/COUNTIFS(Erhebungsbogen!$H$5:$H$2000,"Haut/Wunde"),"–")</f>
        <v>–</v>
      </c>
      <c r="E27" s="25" t="str">
        <f aca="false">IFERROR(COUNTIFS(Erhebungsbogen!$O$5:$O$2000,"Ja",Erhebungsbogen!$H$5:$H$2000,"Haut/Wunde")/COUNTIFS(Erhebungsbogen!$H$5:$H$2000,"Haut/Wunde"),"–")</f>
        <v>–</v>
      </c>
      <c r="F27" s="25" t="str">
        <f aca="false">IFERROR(COUNTIFS(Erhebungsbogen!$Q$5:$Q$2000,"Ja",Erhebungsbogen!$H$5:$H$2000,"Haut/Wunde")/COUNTIFS(Erhebungsbogen!$H$5:$H$2000,"Haut/Wunde"),"–")</f>
        <v>–</v>
      </c>
      <c r="G27" s="25" t="str">
        <f aca="false">IFERROR(COUNTIFS(Erhebungsbogen!$P$5:$P$2000,"Ja",Erhebungsbogen!$H$5:$H$2000,"Haut/Wunde")/COUNTIFS(Erhebungsbogen!$H$5:$H$2000,"Haut/Wunde"),"–")</f>
        <v>–</v>
      </c>
      <c r="H27" s="26" t="str">
        <f aca="false">IFERROR(AVERAGEIFS(Erhebungsbogen!$N$5:$N$2000,Erhebungsbogen!$K$5:$K$2000,"Ja",Erhebungsbogen!$H$5:$H$2000,"Haut/Wunde"),"–")</f>
        <v>–</v>
      </c>
    </row>
    <row r="28" customFormat="false" ht="15" hidden="false" customHeight="false" outlineLevel="0" collapsed="false">
      <c r="A28" s="16" t="s">
        <v>103</v>
      </c>
      <c r="B28" s="15" t="n">
        <f aca="false">COUNTIFS(Erhebungsbogen!$H$5:$H$2000,"Schlaf/Nerven")</f>
        <v>0</v>
      </c>
      <c r="C28" s="25" t="str">
        <f aca="false">IFERROR(COUNTIFS(Erhebungsbogen!$K$5:$K$2000,"Ja",Erhebungsbogen!$H$5:$H$2000,"Schlaf/Nerven")/COUNTIFS(Erhebungsbogen!$H$5:$H$2000,"Schlaf/Nerven"),"–")</f>
        <v>–</v>
      </c>
      <c r="D28" s="25" t="str">
        <f aca="false">IFERROR(COUNTIFS(Erhebungsbogen!$L$5:$L$2000,"Ja",Erhebungsbogen!$H$5:$H$2000,"Schlaf/Nerven")/COUNTIFS(Erhebungsbogen!$H$5:$H$2000,"Schlaf/Nerven"),"–")</f>
        <v>–</v>
      </c>
      <c r="E28" s="25" t="str">
        <f aca="false">IFERROR(COUNTIFS(Erhebungsbogen!$O$5:$O$2000,"Ja",Erhebungsbogen!$H$5:$H$2000,"Schlaf/Nerven")/COUNTIFS(Erhebungsbogen!$H$5:$H$2000,"Schlaf/Nerven"),"–")</f>
        <v>–</v>
      </c>
      <c r="F28" s="25" t="str">
        <f aca="false">IFERROR(COUNTIFS(Erhebungsbogen!$Q$5:$Q$2000,"Ja",Erhebungsbogen!$H$5:$H$2000,"Schlaf/Nerven")/COUNTIFS(Erhebungsbogen!$H$5:$H$2000,"Schlaf/Nerven"),"–")</f>
        <v>–</v>
      </c>
      <c r="G28" s="25" t="str">
        <f aca="false">IFERROR(COUNTIFS(Erhebungsbogen!$P$5:$P$2000,"Ja",Erhebungsbogen!$H$5:$H$2000,"Schlaf/Nerven")/COUNTIFS(Erhebungsbogen!$H$5:$H$2000,"Schlaf/Nerven"),"–")</f>
        <v>–</v>
      </c>
      <c r="H28" s="26" t="str">
        <f aca="false">IFERROR(AVERAGEIFS(Erhebungsbogen!$N$5:$N$2000,Erhebungsbogen!$K$5:$K$2000,"Ja",Erhebungsbogen!$H$5:$H$2000,"Schlaf/Nerven"),"–")</f>
        <v>–</v>
      </c>
    </row>
    <row r="29" customFormat="false" ht="15" hidden="false" customHeight="false" outlineLevel="0" collapsed="false">
      <c r="A29" s="16" t="s">
        <v>106</v>
      </c>
      <c r="B29" s="15" t="n">
        <f aca="false">COUNTIFS(Erhebungsbogen!$H$5:$H$2000,"Augen")</f>
        <v>0</v>
      </c>
      <c r="C29" s="25" t="str">
        <f aca="false">IFERROR(COUNTIFS(Erhebungsbogen!$K$5:$K$2000,"Ja",Erhebungsbogen!$H$5:$H$2000,"Augen")/COUNTIFS(Erhebungsbogen!$H$5:$H$2000,"Augen"),"–")</f>
        <v>–</v>
      </c>
      <c r="D29" s="25" t="str">
        <f aca="false">IFERROR(COUNTIFS(Erhebungsbogen!$L$5:$L$2000,"Ja",Erhebungsbogen!$H$5:$H$2000,"Augen")/COUNTIFS(Erhebungsbogen!$H$5:$H$2000,"Augen"),"–")</f>
        <v>–</v>
      </c>
      <c r="E29" s="25" t="str">
        <f aca="false">IFERROR(COUNTIFS(Erhebungsbogen!$O$5:$O$2000,"Ja",Erhebungsbogen!$H$5:$H$2000,"Augen")/COUNTIFS(Erhebungsbogen!$H$5:$H$2000,"Augen"),"–")</f>
        <v>–</v>
      </c>
      <c r="F29" s="25" t="str">
        <f aca="false">IFERROR(COUNTIFS(Erhebungsbogen!$Q$5:$Q$2000,"Ja",Erhebungsbogen!$H$5:$H$2000,"Augen")/COUNTIFS(Erhebungsbogen!$H$5:$H$2000,"Augen"),"–")</f>
        <v>–</v>
      </c>
      <c r="G29" s="25" t="str">
        <f aca="false">IFERROR(COUNTIFS(Erhebungsbogen!$P$5:$P$2000,"Ja",Erhebungsbogen!$H$5:$H$2000,"Augen")/COUNTIFS(Erhebungsbogen!$H$5:$H$2000,"Augen"),"–")</f>
        <v>–</v>
      </c>
      <c r="H29" s="26" t="str">
        <f aca="false">IFERROR(AVERAGEIFS(Erhebungsbogen!$N$5:$N$2000,Erhebungsbogen!$K$5:$K$2000,"Ja",Erhebungsbogen!$H$5:$H$2000,"Augen"),"–")</f>
        <v>–</v>
      </c>
    </row>
    <row r="30" customFormat="false" ht="15" hidden="false" customHeight="false" outlineLevel="0" collapsed="false">
      <c r="A30" s="16" t="s">
        <v>108</v>
      </c>
      <c r="B30" s="16" t="n">
        <f aca="false">COUNTA(Erhebungsbogen!$A$5:$A$2000)</f>
        <v>1</v>
      </c>
      <c r="C30" s="27" t="n">
        <f aca="false">IFERROR(COUNTIFS(Erhebungsbogen!$K$5:$K$2000,"Ja")/COUNTA(Erhebungsbogen!$A$5:$A$2000),"–")</f>
        <v>1</v>
      </c>
      <c r="D30" s="27" t="n">
        <f aca="false">IFERROR(COUNTIFS(Erhebungsbogen!$L$5:$L$2000,"Ja")/COUNTA(Erhebungsbogen!$A$5:$A$2000),"–")</f>
        <v>0</v>
      </c>
      <c r="E30" s="27" t="n">
        <f aca="false">IFERROR(COUNTIFS(Erhebungsbogen!$O$5:$O$2000,"Ja")/COUNTA(Erhebungsbogen!$A$5:$A$2000),"–")</f>
        <v>0</v>
      </c>
      <c r="F30" s="27" t="n">
        <f aca="false">IFERROR(COUNTIFS(Erhebungsbogen!$Q$5:$Q$2000,"Ja")/COUNTA(Erhebungsbogen!$A$5:$A$2000),"–")</f>
        <v>0</v>
      </c>
      <c r="G30" s="27" t="n">
        <f aca="false">IFERROR(COUNTIFS(Erhebungsbogen!$P$5:$P$2000,"Ja")/COUNTA(Erhebungsbogen!$A$5:$A$2000),"–")</f>
        <v>0</v>
      </c>
      <c r="H30" s="28" t="n">
        <f aca="false">IFERROR(AVERAGEIFS(Erhebungsbogen!$N$5:$N$2000,Erhebungsbogen!$K$5:$K$2000,"Ja"),"–")</f>
        <v>4</v>
      </c>
    </row>
    <row r="32" customFormat="false" ht="15" hidden="false" customHeight="false" outlineLevel="0" collapsed="false">
      <c r="A32" s="8" t="s">
        <v>562</v>
      </c>
      <c r="B32" s="8"/>
      <c r="C32" s="8"/>
      <c r="D32" s="8"/>
      <c r="E32" s="8"/>
      <c r="F32" s="8"/>
      <c r="G32" s="8"/>
      <c r="H32" s="8"/>
    </row>
    <row r="33" customFormat="false" ht="30" hidden="false" customHeight="true" outlineLevel="0" collapsed="false">
      <c r="A33" s="12" t="s">
        <v>75</v>
      </c>
      <c r="B33" s="12" t="s">
        <v>563</v>
      </c>
      <c r="C33" s="12" t="s">
        <v>541</v>
      </c>
      <c r="D33" s="12" t="s">
        <v>564</v>
      </c>
      <c r="E33" s="24"/>
      <c r="F33" s="24"/>
      <c r="G33" s="24"/>
      <c r="H33" s="24"/>
    </row>
    <row r="34" customFormat="false" ht="15" hidden="false" customHeight="false" outlineLevel="0" collapsed="false">
      <c r="A34" s="16" t="s">
        <v>79</v>
      </c>
      <c r="B34" s="15" t="n">
        <f aca="false">COUNTIFS(Erhebungsbogen!$R$5:$R$2000,"positiv",Erhebungsbogen!$H$5:$H$2000,"Erkältung/Grippe")</f>
        <v>0</v>
      </c>
      <c r="C34" s="15" t="n">
        <f aca="false">COUNTIFS(Erhebungsbogen!$R$5:$R$2000,"neutral",Erhebungsbogen!$H$5:$H$2000,"Erkältung/Grippe")</f>
        <v>0</v>
      </c>
      <c r="D34" s="15" t="n">
        <f aca="false">COUNTIFS(Erhebungsbogen!$R$5:$R$2000,"kritisch",Erhebungsbogen!$H$5:$H$2000,"Erkältung/Grippe")</f>
        <v>0</v>
      </c>
      <c r="E34" s="24"/>
      <c r="F34" s="24"/>
      <c r="G34" s="24"/>
      <c r="H34" s="24"/>
    </row>
    <row r="35" customFormat="false" ht="15" hidden="false" customHeight="false" outlineLevel="0" collapsed="false">
      <c r="A35" s="16" t="s">
        <v>82</v>
      </c>
      <c r="B35" s="15" t="n">
        <f aca="false">COUNTIFS(Erhebungsbogen!$R$5:$R$2000,"positiv",Erhebungsbogen!$H$5:$H$2000,"Husten/Hals")</f>
        <v>0</v>
      </c>
      <c r="C35" s="15" t="n">
        <f aca="false">COUNTIFS(Erhebungsbogen!$R$5:$R$2000,"neutral",Erhebungsbogen!$H$5:$H$2000,"Husten/Hals")</f>
        <v>0</v>
      </c>
      <c r="D35" s="15" t="n">
        <f aca="false">COUNTIFS(Erhebungsbogen!$R$5:$R$2000,"kritisch",Erhebungsbogen!$H$5:$H$2000,"Husten/Hals")</f>
        <v>0</v>
      </c>
      <c r="E35" s="24"/>
      <c r="F35" s="24"/>
      <c r="G35" s="24"/>
      <c r="H35" s="24"/>
    </row>
    <row r="36" customFormat="false" ht="15" hidden="false" customHeight="false" outlineLevel="0" collapsed="false">
      <c r="A36" s="16" t="s">
        <v>85</v>
      </c>
      <c r="B36" s="15" t="n">
        <f aca="false">COUNTIFS(Erhebungsbogen!$R$5:$R$2000,"positiv",Erhebungsbogen!$H$5:$H$2000,"Schmerz/Fieber")</f>
        <v>0</v>
      </c>
      <c r="C36" s="15" t="n">
        <f aca="false">COUNTIFS(Erhebungsbogen!$R$5:$R$2000,"neutral",Erhebungsbogen!$H$5:$H$2000,"Schmerz/Fieber")</f>
        <v>0</v>
      </c>
      <c r="D36" s="15" t="n">
        <f aca="false">COUNTIFS(Erhebungsbogen!$R$5:$R$2000,"kritisch",Erhebungsbogen!$H$5:$H$2000,"Schmerz/Fieber")</f>
        <v>0</v>
      </c>
      <c r="E36" s="24"/>
      <c r="F36" s="24"/>
      <c r="G36" s="24"/>
      <c r="H36" s="24"/>
    </row>
    <row r="37" customFormat="false" ht="15" hidden="false" customHeight="false" outlineLevel="0" collapsed="false">
      <c r="A37" s="16" t="s">
        <v>88</v>
      </c>
      <c r="B37" s="15" t="n">
        <f aca="false">COUNTIFS(Erhebungsbogen!$R$5:$R$2000,"positiv",Erhebungsbogen!$H$5:$H$2000,"Muskel/Gelenk")</f>
        <v>0</v>
      </c>
      <c r="C37" s="15" t="n">
        <f aca="false">COUNTIFS(Erhebungsbogen!$R$5:$R$2000,"neutral",Erhebungsbogen!$H$5:$H$2000,"Muskel/Gelenk")</f>
        <v>0</v>
      </c>
      <c r="D37" s="15" t="n">
        <f aca="false">COUNTIFS(Erhebungsbogen!$R$5:$R$2000,"kritisch",Erhebungsbogen!$H$5:$H$2000,"Muskel/Gelenk")</f>
        <v>0</v>
      </c>
      <c r="E37" s="24"/>
      <c r="F37" s="24"/>
      <c r="G37" s="24"/>
      <c r="H37" s="24"/>
    </row>
    <row r="38" customFormat="false" ht="15" hidden="false" customHeight="false" outlineLevel="0" collapsed="false">
      <c r="A38" s="16" t="s">
        <v>91</v>
      </c>
      <c r="B38" s="15" t="n">
        <f aca="false">COUNTIFS(Erhebungsbogen!$R$5:$R$2000,"positiv",Erhebungsbogen!$H$5:$H$2000,"Magen/Darm")</f>
        <v>0</v>
      </c>
      <c r="C38" s="15" t="n">
        <f aca="false">COUNTIFS(Erhebungsbogen!$R$5:$R$2000,"neutral",Erhebungsbogen!$H$5:$H$2000,"Magen/Darm")</f>
        <v>0</v>
      </c>
      <c r="D38" s="15" t="n">
        <f aca="false">COUNTIFS(Erhebungsbogen!$R$5:$R$2000,"kritisch",Erhebungsbogen!$H$5:$H$2000,"Magen/Darm")</f>
        <v>0</v>
      </c>
      <c r="E38" s="24"/>
      <c r="F38" s="24"/>
      <c r="G38" s="24"/>
      <c r="H38" s="24"/>
    </row>
    <row r="39" customFormat="false" ht="15" hidden="false" customHeight="false" outlineLevel="0" collapsed="false">
      <c r="A39" s="16" t="s">
        <v>94</v>
      </c>
      <c r="B39" s="15" t="n">
        <f aca="false">COUNTIFS(Erhebungsbogen!$R$5:$R$2000,"positiv",Erhebungsbogen!$H$5:$H$2000,"Vitamine/Mineralstoffe")</f>
        <v>0</v>
      </c>
      <c r="C39" s="15" t="n">
        <f aca="false">COUNTIFS(Erhebungsbogen!$R$5:$R$2000,"neutral",Erhebungsbogen!$H$5:$H$2000,"Vitamine/Mineralstoffe")</f>
        <v>1</v>
      </c>
      <c r="D39" s="15" t="n">
        <f aca="false">COUNTIFS(Erhebungsbogen!$R$5:$R$2000,"kritisch",Erhebungsbogen!$H$5:$H$2000,"Vitamine/Mineralstoffe")</f>
        <v>0</v>
      </c>
      <c r="E39" s="24"/>
      <c r="F39" s="24"/>
      <c r="G39" s="24"/>
      <c r="H39" s="24"/>
    </row>
    <row r="40" customFormat="false" ht="15" hidden="false" customHeight="false" outlineLevel="0" collapsed="false">
      <c r="A40" s="16" t="s">
        <v>97</v>
      </c>
      <c r="B40" s="15" t="n">
        <f aca="false">COUNTIFS(Erhebungsbogen!$R$5:$R$2000,"positiv",Erhebungsbogen!$H$5:$H$2000,"Allergie")</f>
        <v>0</v>
      </c>
      <c r="C40" s="15" t="n">
        <f aca="false">COUNTIFS(Erhebungsbogen!$R$5:$R$2000,"neutral",Erhebungsbogen!$H$5:$H$2000,"Allergie")</f>
        <v>0</v>
      </c>
      <c r="D40" s="15" t="n">
        <f aca="false">COUNTIFS(Erhebungsbogen!$R$5:$R$2000,"kritisch",Erhebungsbogen!$H$5:$H$2000,"Allergie")</f>
        <v>0</v>
      </c>
      <c r="E40" s="24"/>
      <c r="F40" s="24"/>
      <c r="G40" s="24"/>
      <c r="H40" s="24"/>
    </row>
    <row r="41" customFormat="false" ht="15" hidden="false" customHeight="false" outlineLevel="0" collapsed="false">
      <c r="A41" s="16" t="s">
        <v>100</v>
      </c>
      <c r="B41" s="15" t="n">
        <f aca="false">COUNTIFS(Erhebungsbogen!$R$5:$R$2000,"positiv",Erhebungsbogen!$H$5:$H$2000,"Haut/Wunde")</f>
        <v>0</v>
      </c>
      <c r="C41" s="15" t="n">
        <f aca="false">COUNTIFS(Erhebungsbogen!$R$5:$R$2000,"neutral",Erhebungsbogen!$H$5:$H$2000,"Haut/Wunde")</f>
        <v>0</v>
      </c>
      <c r="D41" s="15" t="n">
        <f aca="false">COUNTIFS(Erhebungsbogen!$R$5:$R$2000,"kritisch",Erhebungsbogen!$H$5:$H$2000,"Haut/Wunde")</f>
        <v>0</v>
      </c>
      <c r="E41" s="24"/>
      <c r="F41" s="24"/>
      <c r="G41" s="24"/>
      <c r="H41" s="24"/>
    </row>
    <row r="42" customFormat="false" ht="15" hidden="false" customHeight="false" outlineLevel="0" collapsed="false">
      <c r="A42" s="16" t="s">
        <v>103</v>
      </c>
      <c r="B42" s="15" t="n">
        <f aca="false">COUNTIFS(Erhebungsbogen!$R$5:$R$2000,"positiv",Erhebungsbogen!$H$5:$H$2000,"Schlaf/Nerven")</f>
        <v>0</v>
      </c>
      <c r="C42" s="15" t="n">
        <f aca="false">COUNTIFS(Erhebungsbogen!$R$5:$R$2000,"neutral",Erhebungsbogen!$H$5:$H$2000,"Schlaf/Nerven")</f>
        <v>0</v>
      </c>
      <c r="D42" s="15" t="n">
        <f aca="false">COUNTIFS(Erhebungsbogen!$R$5:$R$2000,"kritisch",Erhebungsbogen!$H$5:$H$2000,"Schlaf/Nerven")</f>
        <v>0</v>
      </c>
      <c r="E42" s="24"/>
      <c r="F42" s="24"/>
      <c r="G42" s="24"/>
      <c r="H42" s="24"/>
    </row>
    <row r="43" customFormat="false" ht="15" hidden="false" customHeight="false" outlineLevel="0" collapsed="false">
      <c r="A43" s="16" t="s">
        <v>106</v>
      </c>
      <c r="B43" s="15" t="n">
        <f aca="false">COUNTIFS(Erhebungsbogen!$R$5:$R$2000,"positiv",Erhebungsbogen!$H$5:$H$2000,"Augen")</f>
        <v>0</v>
      </c>
      <c r="C43" s="15" t="n">
        <f aca="false">COUNTIFS(Erhebungsbogen!$R$5:$R$2000,"neutral",Erhebungsbogen!$H$5:$H$2000,"Augen")</f>
        <v>0</v>
      </c>
      <c r="D43" s="15" t="n">
        <f aca="false">COUNTIFS(Erhebungsbogen!$R$5:$R$2000,"kritisch",Erhebungsbogen!$H$5:$H$2000,"Augen")</f>
        <v>0</v>
      </c>
      <c r="E43" s="24"/>
      <c r="F43" s="24"/>
      <c r="G43" s="24"/>
      <c r="H43" s="24"/>
    </row>
    <row r="45" customFormat="false" ht="15" hidden="false" customHeight="false" outlineLevel="0" collapsed="false">
      <c r="A45" s="8" t="s">
        <v>565</v>
      </c>
      <c r="B45" s="8"/>
      <c r="C45" s="8"/>
      <c r="D45" s="8"/>
      <c r="E45" s="8"/>
      <c r="F45" s="8"/>
      <c r="G45" s="8"/>
      <c r="H45" s="8"/>
    </row>
    <row r="46" customFormat="false" ht="30" hidden="false" customHeight="true" outlineLevel="0" collapsed="false">
      <c r="A46" s="12" t="s">
        <v>75</v>
      </c>
      <c r="B46" s="12" t="s">
        <v>536</v>
      </c>
      <c r="C46" s="12" t="s">
        <v>552</v>
      </c>
      <c r="D46" s="12" t="s">
        <v>553</v>
      </c>
      <c r="E46" s="12" t="s">
        <v>554</v>
      </c>
      <c r="F46" s="12" t="s">
        <v>555</v>
      </c>
      <c r="G46" s="12" t="s">
        <v>108</v>
      </c>
      <c r="H46" s="24"/>
    </row>
    <row r="47" customFormat="false" ht="15" hidden="false" customHeight="false" outlineLevel="0" collapsed="false">
      <c r="A47" s="16" t="s">
        <v>79</v>
      </c>
      <c r="B47" s="25" t="str">
        <f aca="false">IFERROR(COUNTIFS(Erhebungsbogen!$K$5:$K$2000,"Ja",Erhebungsbogen!$H$5:$H$2000,"Erkältung/Grippe",Erhebungsbogen!$F$5:$F$2000,"ChatGPT")/COUNTIFS(Erhebungsbogen!$H$5:$H$2000,"Erkältung/Grippe",Erhebungsbogen!$F$5:$F$2000,"ChatGPT"),"–")</f>
        <v>–</v>
      </c>
      <c r="C47" s="25" t="str">
        <f aca="false">IFERROR(COUNTIFS(Erhebungsbogen!$K$5:$K$2000,"Ja",Erhebungsbogen!$H$5:$H$2000,"Erkältung/Grippe",Erhebungsbogen!$F$5:$F$2000,"Claude")/COUNTIFS(Erhebungsbogen!$H$5:$H$2000,"Erkältung/Grippe",Erhebungsbogen!$F$5:$F$2000,"Claude"),"–")</f>
        <v>–</v>
      </c>
      <c r="D47" s="25" t="str">
        <f aca="false">IFERROR(COUNTIFS(Erhebungsbogen!$K$5:$K$2000,"Ja",Erhebungsbogen!$H$5:$H$2000,"Erkältung/Grippe",Erhebungsbogen!$F$5:$F$2000,"Gemini")/COUNTIFS(Erhebungsbogen!$H$5:$H$2000,"Erkältung/Grippe",Erhebungsbogen!$F$5:$F$2000,"Gemini"),"–")</f>
        <v>–</v>
      </c>
      <c r="E47" s="25" t="str">
        <f aca="false">IFERROR(COUNTIFS(Erhebungsbogen!$K$5:$K$2000,"Ja",Erhebungsbogen!$H$5:$H$2000,"Erkältung/Grippe",Erhebungsbogen!$F$5:$F$2000,"Google AI Overview")/COUNTIFS(Erhebungsbogen!$H$5:$H$2000,"Erkältung/Grippe",Erhebungsbogen!$F$5:$F$2000,"Google AI Overview"),"–")</f>
        <v>–</v>
      </c>
      <c r="F47" s="25" t="str">
        <f aca="false">IFERROR(COUNTIFS(Erhebungsbogen!$K$5:$K$2000,"Ja",Erhebungsbogen!$H$5:$H$2000,"Erkältung/Grippe",Erhebungsbogen!$F$5:$F$2000,"Perplexity")/COUNTIFS(Erhebungsbogen!$H$5:$H$2000,"Erkältung/Grippe",Erhebungsbogen!$F$5:$F$2000,"Perplexity"),"–")</f>
        <v>–</v>
      </c>
      <c r="G47" s="25" t="str">
        <f aca="false">IFERROR(COUNTIFS(Erhebungsbogen!$K$5:$K$2000,"Ja",Erhebungsbogen!$H$5:$H$2000,"Erkältung/Grippe")/COUNTIFS(Erhebungsbogen!$H$5:$H$2000,"Erkältung/Grippe"),"–")</f>
        <v>–</v>
      </c>
      <c r="H47" s="24"/>
    </row>
    <row r="48" customFormat="false" ht="15" hidden="false" customHeight="false" outlineLevel="0" collapsed="false">
      <c r="A48" s="16" t="s">
        <v>82</v>
      </c>
      <c r="B48" s="25" t="str">
        <f aca="false">IFERROR(COUNTIFS(Erhebungsbogen!$K$5:$K$2000,"Ja",Erhebungsbogen!$H$5:$H$2000,"Husten/Hals",Erhebungsbogen!$F$5:$F$2000,"ChatGPT")/COUNTIFS(Erhebungsbogen!$H$5:$H$2000,"Husten/Hals",Erhebungsbogen!$F$5:$F$2000,"ChatGPT"),"–")</f>
        <v>–</v>
      </c>
      <c r="C48" s="25" t="str">
        <f aca="false">IFERROR(COUNTIFS(Erhebungsbogen!$K$5:$K$2000,"Ja",Erhebungsbogen!$H$5:$H$2000,"Husten/Hals",Erhebungsbogen!$F$5:$F$2000,"Claude")/COUNTIFS(Erhebungsbogen!$H$5:$H$2000,"Husten/Hals",Erhebungsbogen!$F$5:$F$2000,"Claude"),"–")</f>
        <v>–</v>
      </c>
      <c r="D48" s="25" t="str">
        <f aca="false">IFERROR(COUNTIFS(Erhebungsbogen!$K$5:$K$2000,"Ja",Erhebungsbogen!$H$5:$H$2000,"Husten/Hals",Erhebungsbogen!$F$5:$F$2000,"Gemini")/COUNTIFS(Erhebungsbogen!$H$5:$H$2000,"Husten/Hals",Erhebungsbogen!$F$5:$F$2000,"Gemini"),"–")</f>
        <v>–</v>
      </c>
      <c r="E48" s="25" t="str">
        <f aca="false">IFERROR(COUNTIFS(Erhebungsbogen!$K$5:$K$2000,"Ja",Erhebungsbogen!$H$5:$H$2000,"Husten/Hals",Erhebungsbogen!$F$5:$F$2000,"Google AI Overview")/COUNTIFS(Erhebungsbogen!$H$5:$H$2000,"Husten/Hals",Erhebungsbogen!$F$5:$F$2000,"Google AI Overview"),"–")</f>
        <v>–</v>
      </c>
      <c r="F48" s="25" t="str">
        <f aca="false">IFERROR(COUNTIFS(Erhebungsbogen!$K$5:$K$2000,"Ja",Erhebungsbogen!$H$5:$H$2000,"Husten/Hals",Erhebungsbogen!$F$5:$F$2000,"Perplexity")/COUNTIFS(Erhebungsbogen!$H$5:$H$2000,"Husten/Hals",Erhebungsbogen!$F$5:$F$2000,"Perplexity"),"–")</f>
        <v>–</v>
      </c>
      <c r="G48" s="25" t="str">
        <f aca="false">IFERROR(COUNTIFS(Erhebungsbogen!$K$5:$K$2000,"Ja",Erhebungsbogen!$H$5:$H$2000,"Husten/Hals")/COUNTIFS(Erhebungsbogen!$H$5:$H$2000,"Husten/Hals"),"–")</f>
        <v>–</v>
      </c>
      <c r="H48" s="24"/>
    </row>
    <row r="49" customFormat="false" ht="15" hidden="false" customHeight="false" outlineLevel="0" collapsed="false">
      <c r="A49" s="16" t="s">
        <v>85</v>
      </c>
      <c r="B49" s="25" t="str">
        <f aca="false">IFERROR(COUNTIFS(Erhebungsbogen!$K$5:$K$2000,"Ja",Erhebungsbogen!$H$5:$H$2000,"Schmerz/Fieber",Erhebungsbogen!$F$5:$F$2000,"ChatGPT")/COUNTIFS(Erhebungsbogen!$H$5:$H$2000,"Schmerz/Fieber",Erhebungsbogen!$F$5:$F$2000,"ChatGPT"),"–")</f>
        <v>–</v>
      </c>
      <c r="C49" s="25" t="str">
        <f aca="false">IFERROR(COUNTIFS(Erhebungsbogen!$K$5:$K$2000,"Ja",Erhebungsbogen!$H$5:$H$2000,"Schmerz/Fieber",Erhebungsbogen!$F$5:$F$2000,"Claude")/COUNTIFS(Erhebungsbogen!$H$5:$H$2000,"Schmerz/Fieber",Erhebungsbogen!$F$5:$F$2000,"Claude"),"–")</f>
        <v>–</v>
      </c>
      <c r="D49" s="25" t="str">
        <f aca="false">IFERROR(COUNTIFS(Erhebungsbogen!$K$5:$K$2000,"Ja",Erhebungsbogen!$H$5:$H$2000,"Schmerz/Fieber",Erhebungsbogen!$F$5:$F$2000,"Gemini")/COUNTIFS(Erhebungsbogen!$H$5:$H$2000,"Schmerz/Fieber",Erhebungsbogen!$F$5:$F$2000,"Gemini"),"–")</f>
        <v>–</v>
      </c>
      <c r="E49" s="25" t="str">
        <f aca="false">IFERROR(COUNTIFS(Erhebungsbogen!$K$5:$K$2000,"Ja",Erhebungsbogen!$H$5:$H$2000,"Schmerz/Fieber",Erhebungsbogen!$F$5:$F$2000,"Google AI Overview")/COUNTIFS(Erhebungsbogen!$H$5:$H$2000,"Schmerz/Fieber",Erhebungsbogen!$F$5:$F$2000,"Google AI Overview"),"–")</f>
        <v>–</v>
      </c>
      <c r="F49" s="25" t="str">
        <f aca="false">IFERROR(COUNTIFS(Erhebungsbogen!$K$5:$K$2000,"Ja",Erhebungsbogen!$H$5:$H$2000,"Schmerz/Fieber",Erhebungsbogen!$F$5:$F$2000,"Perplexity")/COUNTIFS(Erhebungsbogen!$H$5:$H$2000,"Schmerz/Fieber",Erhebungsbogen!$F$5:$F$2000,"Perplexity"),"–")</f>
        <v>–</v>
      </c>
      <c r="G49" s="25" t="str">
        <f aca="false">IFERROR(COUNTIFS(Erhebungsbogen!$K$5:$K$2000,"Ja",Erhebungsbogen!$H$5:$H$2000,"Schmerz/Fieber")/COUNTIFS(Erhebungsbogen!$H$5:$H$2000,"Schmerz/Fieber"),"–")</f>
        <v>–</v>
      </c>
      <c r="H49" s="24"/>
    </row>
    <row r="50" customFormat="false" ht="15" hidden="false" customHeight="false" outlineLevel="0" collapsed="false">
      <c r="A50" s="16" t="s">
        <v>88</v>
      </c>
      <c r="B50" s="25" t="str">
        <f aca="false">IFERROR(COUNTIFS(Erhebungsbogen!$K$5:$K$2000,"Ja",Erhebungsbogen!$H$5:$H$2000,"Muskel/Gelenk",Erhebungsbogen!$F$5:$F$2000,"ChatGPT")/COUNTIFS(Erhebungsbogen!$H$5:$H$2000,"Muskel/Gelenk",Erhebungsbogen!$F$5:$F$2000,"ChatGPT"),"–")</f>
        <v>–</v>
      </c>
      <c r="C50" s="25" t="str">
        <f aca="false">IFERROR(COUNTIFS(Erhebungsbogen!$K$5:$K$2000,"Ja",Erhebungsbogen!$H$5:$H$2000,"Muskel/Gelenk",Erhebungsbogen!$F$5:$F$2000,"Claude")/COUNTIFS(Erhebungsbogen!$H$5:$H$2000,"Muskel/Gelenk",Erhebungsbogen!$F$5:$F$2000,"Claude"),"–")</f>
        <v>–</v>
      </c>
      <c r="D50" s="25" t="str">
        <f aca="false">IFERROR(COUNTIFS(Erhebungsbogen!$K$5:$K$2000,"Ja",Erhebungsbogen!$H$5:$H$2000,"Muskel/Gelenk",Erhebungsbogen!$F$5:$F$2000,"Gemini")/COUNTIFS(Erhebungsbogen!$H$5:$H$2000,"Muskel/Gelenk",Erhebungsbogen!$F$5:$F$2000,"Gemini"),"–")</f>
        <v>–</v>
      </c>
      <c r="E50" s="25" t="str">
        <f aca="false">IFERROR(COUNTIFS(Erhebungsbogen!$K$5:$K$2000,"Ja",Erhebungsbogen!$H$5:$H$2000,"Muskel/Gelenk",Erhebungsbogen!$F$5:$F$2000,"Google AI Overview")/COUNTIFS(Erhebungsbogen!$H$5:$H$2000,"Muskel/Gelenk",Erhebungsbogen!$F$5:$F$2000,"Google AI Overview"),"–")</f>
        <v>–</v>
      </c>
      <c r="F50" s="25" t="str">
        <f aca="false">IFERROR(COUNTIFS(Erhebungsbogen!$K$5:$K$2000,"Ja",Erhebungsbogen!$H$5:$H$2000,"Muskel/Gelenk",Erhebungsbogen!$F$5:$F$2000,"Perplexity")/COUNTIFS(Erhebungsbogen!$H$5:$H$2000,"Muskel/Gelenk",Erhebungsbogen!$F$5:$F$2000,"Perplexity"),"–")</f>
        <v>–</v>
      </c>
      <c r="G50" s="25" t="str">
        <f aca="false">IFERROR(COUNTIFS(Erhebungsbogen!$K$5:$K$2000,"Ja",Erhebungsbogen!$H$5:$H$2000,"Muskel/Gelenk")/COUNTIFS(Erhebungsbogen!$H$5:$H$2000,"Muskel/Gelenk"),"–")</f>
        <v>–</v>
      </c>
      <c r="H50" s="24"/>
    </row>
    <row r="51" customFormat="false" ht="15" hidden="false" customHeight="false" outlineLevel="0" collapsed="false">
      <c r="A51" s="16" t="s">
        <v>91</v>
      </c>
      <c r="B51" s="25" t="str">
        <f aca="false">IFERROR(COUNTIFS(Erhebungsbogen!$K$5:$K$2000,"Ja",Erhebungsbogen!$H$5:$H$2000,"Magen/Darm",Erhebungsbogen!$F$5:$F$2000,"ChatGPT")/COUNTIFS(Erhebungsbogen!$H$5:$H$2000,"Magen/Darm",Erhebungsbogen!$F$5:$F$2000,"ChatGPT"),"–")</f>
        <v>–</v>
      </c>
      <c r="C51" s="25" t="str">
        <f aca="false">IFERROR(COUNTIFS(Erhebungsbogen!$K$5:$K$2000,"Ja",Erhebungsbogen!$H$5:$H$2000,"Magen/Darm",Erhebungsbogen!$F$5:$F$2000,"Claude")/COUNTIFS(Erhebungsbogen!$H$5:$H$2000,"Magen/Darm",Erhebungsbogen!$F$5:$F$2000,"Claude"),"–")</f>
        <v>–</v>
      </c>
      <c r="D51" s="25" t="str">
        <f aca="false">IFERROR(COUNTIFS(Erhebungsbogen!$K$5:$K$2000,"Ja",Erhebungsbogen!$H$5:$H$2000,"Magen/Darm",Erhebungsbogen!$F$5:$F$2000,"Gemini")/COUNTIFS(Erhebungsbogen!$H$5:$H$2000,"Magen/Darm",Erhebungsbogen!$F$5:$F$2000,"Gemini"),"–")</f>
        <v>–</v>
      </c>
      <c r="E51" s="25" t="str">
        <f aca="false">IFERROR(COUNTIFS(Erhebungsbogen!$K$5:$K$2000,"Ja",Erhebungsbogen!$H$5:$H$2000,"Magen/Darm",Erhebungsbogen!$F$5:$F$2000,"Google AI Overview")/COUNTIFS(Erhebungsbogen!$H$5:$H$2000,"Magen/Darm",Erhebungsbogen!$F$5:$F$2000,"Google AI Overview"),"–")</f>
        <v>–</v>
      </c>
      <c r="F51" s="25" t="str">
        <f aca="false">IFERROR(COUNTIFS(Erhebungsbogen!$K$5:$K$2000,"Ja",Erhebungsbogen!$H$5:$H$2000,"Magen/Darm",Erhebungsbogen!$F$5:$F$2000,"Perplexity")/COUNTIFS(Erhebungsbogen!$H$5:$H$2000,"Magen/Darm",Erhebungsbogen!$F$5:$F$2000,"Perplexity"),"–")</f>
        <v>–</v>
      </c>
      <c r="G51" s="25" t="str">
        <f aca="false">IFERROR(COUNTIFS(Erhebungsbogen!$K$5:$K$2000,"Ja",Erhebungsbogen!$H$5:$H$2000,"Magen/Darm")/COUNTIFS(Erhebungsbogen!$H$5:$H$2000,"Magen/Darm"),"–")</f>
        <v>–</v>
      </c>
      <c r="H51" s="24"/>
    </row>
    <row r="52" customFormat="false" ht="15" hidden="false" customHeight="false" outlineLevel="0" collapsed="false">
      <c r="A52" s="16" t="s">
        <v>94</v>
      </c>
      <c r="B52" s="25" t="n">
        <f aca="false">IFERROR(COUNTIFS(Erhebungsbogen!$K$5:$K$2000,"Ja",Erhebungsbogen!$H$5:$H$2000,"Vitamine/Mineralstoffe",Erhebungsbogen!$F$5:$F$2000,"ChatGPT")/COUNTIFS(Erhebungsbogen!$H$5:$H$2000,"Vitamine/Mineralstoffe",Erhebungsbogen!$F$5:$F$2000,"ChatGPT"),"–")</f>
        <v>1</v>
      </c>
      <c r="C52" s="25" t="str">
        <f aca="false">IFERROR(COUNTIFS(Erhebungsbogen!$K$5:$K$2000,"Ja",Erhebungsbogen!$H$5:$H$2000,"Vitamine/Mineralstoffe",Erhebungsbogen!$F$5:$F$2000,"Claude")/COUNTIFS(Erhebungsbogen!$H$5:$H$2000,"Vitamine/Mineralstoffe",Erhebungsbogen!$F$5:$F$2000,"Claude"),"–")</f>
        <v>–</v>
      </c>
      <c r="D52" s="25" t="str">
        <f aca="false">IFERROR(COUNTIFS(Erhebungsbogen!$K$5:$K$2000,"Ja",Erhebungsbogen!$H$5:$H$2000,"Vitamine/Mineralstoffe",Erhebungsbogen!$F$5:$F$2000,"Gemini")/COUNTIFS(Erhebungsbogen!$H$5:$H$2000,"Vitamine/Mineralstoffe",Erhebungsbogen!$F$5:$F$2000,"Gemini"),"–")</f>
        <v>–</v>
      </c>
      <c r="E52" s="25" t="str">
        <f aca="false">IFERROR(COUNTIFS(Erhebungsbogen!$K$5:$K$2000,"Ja",Erhebungsbogen!$H$5:$H$2000,"Vitamine/Mineralstoffe",Erhebungsbogen!$F$5:$F$2000,"Google AI Overview")/COUNTIFS(Erhebungsbogen!$H$5:$H$2000,"Vitamine/Mineralstoffe",Erhebungsbogen!$F$5:$F$2000,"Google AI Overview"),"–")</f>
        <v>–</v>
      </c>
      <c r="F52" s="25" t="str">
        <f aca="false">IFERROR(COUNTIFS(Erhebungsbogen!$K$5:$K$2000,"Ja",Erhebungsbogen!$H$5:$H$2000,"Vitamine/Mineralstoffe",Erhebungsbogen!$F$5:$F$2000,"Perplexity")/COUNTIFS(Erhebungsbogen!$H$5:$H$2000,"Vitamine/Mineralstoffe",Erhebungsbogen!$F$5:$F$2000,"Perplexity"),"–")</f>
        <v>–</v>
      </c>
      <c r="G52" s="25" t="n">
        <f aca="false">IFERROR(COUNTIFS(Erhebungsbogen!$K$5:$K$2000,"Ja",Erhebungsbogen!$H$5:$H$2000,"Vitamine/Mineralstoffe")/COUNTIFS(Erhebungsbogen!$H$5:$H$2000,"Vitamine/Mineralstoffe"),"–")</f>
        <v>1</v>
      </c>
      <c r="H52" s="24"/>
    </row>
    <row r="53" customFormat="false" ht="15" hidden="false" customHeight="false" outlineLevel="0" collapsed="false">
      <c r="A53" s="16" t="s">
        <v>97</v>
      </c>
      <c r="B53" s="25" t="str">
        <f aca="false">IFERROR(COUNTIFS(Erhebungsbogen!$K$5:$K$2000,"Ja",Erhebungsbogen!$H$5:$H$2000,"Allergie",Erhebungsbogen!$F$5:$F$2000,"ChatGPT")/COUNTIFS(Erhebungsbogen!$H$5:$H$2000,"Allergie",Erhebungsbogen!$F$5:$F$2000,"ChatGPT"),"–")</f>
        <v>–</v>
      </c>
      <c r="C53" s="25" t="str">
        <f aca="false">IFERROR(COUNTIFS(Erhebungsbogen!$K$5:$K$2000,"Ja",Erhebungsbogen!$H$5:$H$2000,"Allergie",Erhebungsbogen!$F$5:$F$2000,"Claude")/COUNTIFS(Erhebungsbogen!$H$5:$H$2000,"Allergie",Erhebungsbogen!$F$5:$F$2000,"Claude"),"–")</f>
        <v>–</v>
      </c>
      <c r="D53" s="25" t="str">
        <f aca="false">IFERROR(COUNTIFS(Erhebungsbogen!$K$5:$K$2000,"Ja",Erhebungsbogen!$H$5:$H$2000,"Allergie",Erhebungsbogen!$F$5:$F$2000,"Gemini")/COUNTIFS(Erhebungsbogen!$H$5:$H$2000,"Allergie",Erhebungsbogen!$F$5:$F$2000,"Gemini"),"–")</f>
        <v>–</v>
      </c>
      <c r="E53" s="25" t="str">
        <f aca="false">IFERROR(COUNTIFS(Erhebungsbogen!$K$5:$K$2000,"Ja",Erhebungsbogen!$H$5:$H$2000,"Allergie",Erhebungsbogen!$F$5:$F$2000,"Google AI Overview")/COUNTIFS(Erhebungsbogen!$H$5:$H$2000,"Allergie",Erhebungsbogen!$F$5:$F$2000,"Google AI Overview"),"–")</f>
        <v>–</v>
      </c>
      <c r="F53" s="25" t="str">
        <f aca="false">IFERROR(COUNTIFS(Erhebungsbogen!$K$5:$K$2000,"Ja",Erhebungsbogen!$H$5:$H$2000,"Allergie",Erhebungsbogen!$F$5:$F$2000,"Perplexity")/COUNTIFS(Erhebungsbogen!$H$5:$H$2000,"Allergie",Erhebungsbogen!$F$5:$F$2000,"Perplexity"),"–")</f>
        <v>–</v>
      </c>
      <c r="G53" s="25" t="str">
        <f aca="false">IFERROR(COUNTIFS(Erhebungsbogen!$K$5:$K$2000,"Ja",Erhebungsbogen!$H$5:$H$2000,"Allergie")/COUNTIFS(Erhebungsbogen!$H$5:$H$2000,"Allergie"),"–")</f>
        <v>–</v>
      </c>
      <c r="H53" s="24"/>
    </row>
    <row r="54" customFormat="false" ht="15" hidden="false" customHeight="false" outlineLevel="0" collapsed="false">
      <c r="A54" s="16" t="s">
        <v>100</v>
      </c>
      <c r="B54" s="25" t="str">
        <f aca="false">IFERROR(COUNTIFS(Erhebungsbogen!$K$5:$K$2000,"Ja",Erhebungsbogen!$H$5:$H$2000,"Haut/Wunde",Erhebungsbogen!$F$5:$F$2000,"ChatGPT")/COUNTIFS(Erhebungsbogen!$H$5:$H$2000,"Haut/Wunde",Erhebungsbogen!$F$5:$F$2000,"ChatGPT"),"–")</f>
        <v>–</v>
      </c>
      <c r="C54" s="25" t="str">
        <f aca="false">IFERROR(COUNTIFS(Erhebungsbogen!$K$5:$K$2000,"Ja",Erhebungsbogen!$H$5:$H$2000,"Haut/Wunde",Erhebungsbogen!$F$5:$F$2000,"Claude")/COUNTIFS(Erhebungsbogen!$H$5:$H$2000,"Haut/Wunde",Erhebungsbogen!$F$5:$F$2000,"Claude"),"–")</f>
        <v>–</v>
      </c>
      <c r="D54" s="25" t="str">
        <f aca="false">IFERROR(COUNTIFS(Erhebungsbogen!$K$5:$K$2000,"Ja",Erhebungsbogen!$H$5:$H$2000,"Haut/Wunde",Erhebungsbogen!$F$5:$F$2000,"Gemini")/COUNTIFS(Erhebungsbogen!$H$5:$H$2000,"Haut/Wunde",Erhebungsbogen!$F$5:$F$2000,"Gemini"),"–")</f>
        <v>–</v>
      </c>
      <c r="E54" s="25" t="str">
        <f aca="false">IFERROR(COUNTIFS(Erhebungsbogen!$K$5:$K$2000,"Ja",Erhebungsbogen!$H$5:$H$2000,"Haut/Wunde",Erhebungsbogen!$F$5:$F$2000,"Google AI Overview")/COUNTIFS(Erhebungsbogen!$H$5:$H$2000,"Haut/Wunde",Erhebungsbogen!$F$5:$F$2000,"Google AI Overview"),"–")</f>
        <v>–</v>
      </c>
      <c r="F54" s="25" t="str">
        <f aca="false">IFERROR(COUNTIFS(Erhebungsbogen!$K$5:$K$2000,"Ja",Erhebungsbogen!$H$5:$H$2000,"Haut/Wunde",Erhebungsbogen!$F$5:$F$2000,"Perplexity")/COUNTIFS(Erhebungsbogen!$H$5:$H$2000,"Haut/Wunde",Erhebungsbogen!$F$5:$F$2000,"Perplexity"),"–")</f>
        <v>–</v>
      </c>
      <c r="G54" s="25" t="str">
        <f aca="false">IFERROR(COUNTIFS(Erhebungsbogen!$K$5:$K$2000,"Ja",Erhebungsbogen!$H$5:$H$2000,"Haut/Wunde")/COUNTIFS(Erhebungsbogen!$H$5:$H$2000,"Haut/Wunde"),"–")</f>
        <v>–</v>
      </c>
      <c r="H54" s="24"/>
    </row>
    <row r="55" customFormat="false" ht="15" hidden="false" customHeight="false" outlineLevel="0" collapsed="false">
      <c r="A55" s="16" t="s">
        <v>103</v>
      </c>
      <c r="B55" s="25" t="str">
        <f aca="false">IFERROR(COUNTIFS(Erhebungsbogen!$K$5:$K$2000,"Ja",Erhebungsbogen!$H$5:$H$2000,"Schlaf/Nerven",Erhebungsbogen!$F$5:$F$2000,"ChatGPT")/COUNTIFS(Erhebungsbogen!$H$5:$H$2000,"Schlaf/Nerven",Erhebungsbogen!$F$5:$F$2000,"ChatGPT"),"–")</f>
        <v>–</v>
      </c>
      <c r="C55" s="25" t="str">
        <f aca="false">IFERROR(COUNTIFS(Erhebungsbogen!$K$5:$K$2000,"Ja",Erhebungsbogen!$H$5:$H$2000,"Schlaf/Nerven",Erhebungsbogen!$F$5:$F$2000,"Claude")/COUNTIFS(Erhebungsbogen!$H$5:$H$2000,"Schlaf/Nerven",Erhebungsbogen!$F$5:$F$2000,"Claude"),"–")</f>
        <v>–</v>
      </c>
      <c r="D55" s="25" t="str">
        <f aca="false">IFERROR(COUNTIFS(Erhebungsbogen!$K$5:$K$2000,"Ja",Erhebungsbogen!$H$5:$H$2000,"Schlaf/Nerven",Erhebungsbogen!$F$5:$F$2000,"Gemini")/COUNTIFS(Erhebungsbogen!$H$5:$H$2000,"Schlaf/Nerven",Erhebungsbogen!$F$5:$F$2000,"Gemini"),"–")</f>
        <v>–</v>
      </c>
      <c r="E55" s="25" t="str">
        <f aca="false">IFERROR(COUNTIFS(Erhebungsbogen!$K$5:$K$2000,"Ja",Erhebungsbogen!$H$5:$H$2000,"Schlaf/Nerven",Erhebungsbogen!$F$5:$F$2000,"Google AI Overview")/COUNTIFS(Erhebungsbogen!$H$5:$H$2000,"Schlaf/Nerven",Erhebungsbogen!$F$5:$F$2000,"Google AI Overview"),"–")</f>
        <v>–</v>
      </c>
      <c r="F55" s="25" t="str">
        <f aca="false">IFERROR(COUNTIFS(Erhebungsbogen!$K$5:$K$2000,"Ja",Erhebungsbogen!$H$5:$H$2000,"Schlaf/Nerven",Erhebungsbogen!$F$5:$F$2000,"Perplexity")/COUNTIFS(Erhebungsbogen!$H$5:$H$2000,"Schlaf/Nerven",Erhebungsbogen!$F$5:$F$2000,"Perplexity"),"–")</f>
        <v>–</v>
      </c>
      <c r="G55" s="25" t="str">
        <f aca="false">IFERROR(COUNTIFS(Erhebungsbogen!$K$5:$K$2000,"Ja",Erhebungsbogen!$H$5:$H$2000,"Schlaf/Nerven")/COUNTIFS(Erhebungsbogen!$H$5:$H$2000,"Schlaf/Nerven"),"–")</f>
        <v>–</v>
      </c>
      <c r="H55" s="24"/>
    </row>
    <row r="56" customFormat="false" ht="15" hidden="false" customHeight="false" outlineLevel="0" collapsed="false">
      <c r="A56" s="16" t="s">
        <v>106</v>
      </c>
      <c r="B56" s="25" t="str">
        <f aca="false">IFERROR(COUNTIFS(Erhebungsbogen!$K$5:$K$2000,"Ja",Erhebungsbogen!$H$5:$H$2000,"Augen",Erhebungsbogen!$F$5:$F$2000,"ChatGPT")/COUNTIFS(Erhebungsbogen!$H$5:$H$2000,"Augen",Erhebungsbogen!$F$5:$F$2000,"ChatGPT"),"–")</f>
        <v>–</v>
      </c>
      <c r="C56" s="25" t="str">
        <f aca="false">IFERROR(COUNTIFS(Erhebungsbogen!$K$5:$K$2000,"Ja",Erhebungsbogen!$H$5:$H$2000,"Augen",Erhebungsbogen!$F$5:$F$2000,"Claude")/COUNTIFS(Erhebungsbogen!$H$5:$H$2000,"Augen",Erhebungsbogen!$F$5:$F$2000,"Claude"),"–")</f>
        <v>–</v>
      </c>
      <c r="D56" s="25" t="str">
        <f aca="false">IFERROR(COUNTIFS(Erhebungsbogen!$K$5:$K$2000,"Ja",Erhebungsbogen!$H$5:$H$2000,"Augen",Erhebungsbogen!$F$5:$F$2000,"Gemini")/COUNTIFS(Erhebungsbogen!$H$5:$H$2000,"Augen",Erhebungsbogen!$F$5:$F$2000,"Gemini"),"–")</f>
        <v>–</v>
      </c>
      <c r="E56" s="25" t="str">
        <f aca="false">IFERROR(COUNTIFS(Erhebungsbogen!$K$5:$K$2000,"Ja",Erhebungsbogen!$H$5:$H$2000,"Augen",Erhebungsbogen!$F$5:$F$2000,"Google AI Overview")/COUNTIFS(Erhebungsbogen!$H$5:$H$2000,"Augen",Erhebungsbogen!$F$5:$F$2000,"Google AI Overview"),"–")</f>
        <v>–</v>
      </c>
      <c r="F56" s="25" t="str">
        <f aca="false">IFERROR(COUNTIFS(Erhebungsbogen!$K$5:$K$2000,"Ja",Erhebungsbogen!$H$5:$H$2000,"Augen",Erhebungsbogen!$F$5:$F$2000,"Perplexity")/COUNTIFS(Erhebungsbogen!$H$5:$H$2000,"Augen",Erhebungsbogen!$F$5:$F$2000,"Perplexity"),"–")</f>
        <v>–</v>
      </c>
      <c r="G56" s="25" t="str">
        <f aca="false">IFERROR(COUNTIFS(Erhebungsbogen!$K$5:$K$2000,"Ja",Erhebungsbogen!$H$5:$H$2000,"Augen")/COUNTIFS(Erhebungsbogen!$H$5:$H$2000,"Augen"),"–")</f>
        <v>–</v>
      </c>
      <c r="H56" s="24"/>
    </row>
    <row r="57" customFormat="false" ht="15" hidden="false" customHeight="false" outlineLevel="0" collapsed="false">
      <c r="A57" s="16" t="s">
        <v>108</v>
      </c>
      <c r="B57" s="27" t="n">
        <f aca="false">IFERROR(COUNTIFS(Erhebungsbogen!$K$5:$K$2000,"Ja",Erhebungsbogen!$F$5:$F$2000,"ChatGPT")/COUNTIFS(Erhebungsbogen!$F$5:$F$2000,"ChatGPT"),"–")</f>
        <v>1</v>
      </c>
      <c r="C57" s="27" t="str">
        <f aca="false">IFERROR(COUNTIFS(Erhebungsbogen!$K$5:$K$2000,"Ja",Erhebungsbogen!$F$5:$F$2000,"Claude")/COUNTIFS(Erhebungsbogen!$F$5:$F$2000,"Claude"),"–")</f>
        <v>–</v>
      </c>
      <c r="D57" s="27" t="str">
        <f aca="false">IFERROR(COUNTIFS(Erhebungsbogen!$K$5:$K$2000,"Ja",Erhebungsbogen!$F$5:$F$2000,"Gemini")/COUNTIFS(Erhebungsbogen!$F$5:$F$2000,"Gemini"),"–")</f>
        <v>–</v>
      </c>
      <c r="E57" s="27" t="str">
        <f aca="false">IFERROR(COUNTIFS(Erhebungsbogen!$K$5:$K$2000,"Ja",Erhebungsbogen!$F$5:$F$2000,"Google AI Overview")/COUNTIFS(Erhebungsbogen!$F$5:$F$2000,"Google AI Overview"),"–")</f>
        <v>–</v>
      </c>
      <c r="F57" s="27" t="str">
        <f aca="false">IFERROR(COUNTIFS(Erhebungsbogen!$K$5:$K$2000,"Ja",Erhebungsbogen!$F$5:$F$2000,"Perplexity")/COUNTIFS(Erhebungsbogen!$F$5:$F$2000,"Perplexity"),"–")</f>
        <v>–</v>
      </c>
      <c r="G57" s="27" t="n">
        <f aca="false">IFERROR(COUNTIFS(Erhebungsbogen!$K$5:$K$2000,"Ja")/COUNTA(Erhebungsbogen!$A$5:$A$2000),"–")</f>
        <v>1</v>
      </c>
      <c r="H57" s="24"/>
    </row>
    <row r="59" customFormat="false" ht="15" hidden="false" customHeight="false" outlineLevel="0" collapsed="false">
      <c r="A59" s="8" t="s">
        <v>566</v>
      </c>
      <c r="B59" s="8"/>
      <c r="C59" s="8"/>
      <c r="D59" s="8"/>
      <c r="E59" s="8"/>
      <c r="F59" s="8"/>
      <c r="G59" s="8"/>
      <c r="H59" s="8"/>
    </row>
    <row r="60" customFormat="false" ht="30" hidden="false" customHeight="true" outlineLevel="0" collapsed="false">
      <c r="A60" s="12" t="s">
        <v>75</v>
      </c>
      <c r="B60" s="12" t="s">
        <v>536</v>
      </c>
      <c r="C60" s="12" t="s">
        <v>552</v>
      </c>
      <c r="D60" s="12" t="s">
        <v>553</v>
      </c>
      <c r="E60" s="12" t="s">
        <v>554</v>
      </c>
      <c r="F60" s="12" t="s">
        <v>555</v>
      </c>
      <c r="G60" s="12" t="s">
        <v>108</v>
      </c>
      <c r="H60" s="24"/>
    </row>
    <row r="61" customFormat="false" ht="15" hidden="false" customHeight="false" outlineLevel="0" collapsed="false">
      <c r="A61" s="16" t="s">
        <v>79</v>
      </c>
      <c r="B61" s="25" t="str">
        <f aca="false">IFERROR(COUNTIFS(Erhebungsbogen!$L$5:$L$2000,"Ja",Erhebungsbogen!$H$5:$H$2000,"Erkältung/Grippe",Erhebungsbogen!$F$5:$F$2000,"ChatGPT")/COUNTIFS(Erhebungsbogen!$H$5:$H$2000,"Erkältung/Grippe",Erhebungsbogen!$F$5:$F$2000,"ChatGPT"),"–")</f>
        <v>–</v>
      </c>
      <c r="C61" s="25" t="str">
        <f aca="false">IFERROR(COUNTIFS(Erhebungsbogen!$L$5:$L$2000,"Ja",Erhebungsbogen!$H$5:$H$2000,"Erkältung/Grippe",Erhebungsbogen!$F$5:$F$2000,"Claude")/COUNTIFS(Erhebungsbogen!$H$5:$H$2000,"Erkältung/Grippe",Erhebungsbogen!$F$5:$F$2000,"Claude"),"–")</f>
        <v>–</v>
      </c>
      <c r="D61" s="25" t="str">
        <f aca="false">IFERROR(COUNTIFS(Erhebungsbogen!$L$5:$L$2000,"Ja",Erhebungsbogen!$H$5:$H$2000,"Erkältung/Grippe",Erhebungsbogen!$F$5:$F$2000,"Gemini")/COUNTIFS(Erhebungsbogen!$H$5:$H$2000,"Erkältung/Grippe",Erhebungsbogen!$F$5:$F$2000,"Gemini"),"–")</f>
        <v>–</v>
      </c>
      <c r="E61" s="25" t="str">
        <f aca="false">IFERROR(COUNTIFS(Erhebungsbogen!$L$5:$L$2000,"Ja",Erhebungsbogen!$H$5:$H$2000,"Erkältung/Grippe",Erhebungsbogen!$F$5:$F$2000,"Google AI Overview")/COUNTIFS(Erhebungsbogen!$H$5:$H$2000,"Erkältung/Grippe",Erhebungsbogen!$F$5:$F$2000,"Google AI Overview"),"–")</f>
        <v>–</v>
      </c>
      <c r="F61" s="25" t="str">
        <f aca="false">IFERROR(COUNTIFS(Erhebungsbogen!$L$5:$L$2000,"Ja",Erhebungsbogen!$H$5:$H$2000,"Erkältung/Grippe",Erhebungsbogen!$F$5:$F$2000,"Perplexity")/COUNTIFS(Erhebungsbogen!$H$5:$H$2000,"Erkältung/Grippe",Erhebungsbogen!$F$5:$F$2000,"Perplexity"),"–")</f>
        <v>–</v>
      </c>
      <c r="G61" s="25" t="str">
        <f aca="false">IFERROR(COUNTIFS(Erhebungsbogen!$L$5:$L$2000,"Ja",Erhebungsbogen!$H$5:$H$2000,"Erkältung/Grippe")/COUNTIFS(Erhebungsbogen!$H$5:$H$2000,"Erkältung/Grippe"),"–")</f>
        <v>–</v>
      </c>
      <c r="H61" s="24"/>
    </row>
    <row r="62" customFormat="false" ht="15" hidden="false" customHeight="false" outlineLevel="0" collapsed="false">
      <c r="A62" s="16" t="s">
        <v>82</v>
      </c>
      <c r="B62" s="25" t="str">
        <f aca="false">IFERROR(COUNTIFS(Erhebungsbogen!$L$5:$L$2000,"Ja",Erhebungsbogen!$H$5:$H$2000,"Husten/Hals",Erhebungsbogen!$F$5:$F$2000,"ChatGPT")/COUNTIFS(Erhebungsbogen!$H$5:$H$2000,"Husten/Hals",Erhebungsbogen!$F$5:$F$2000,"ChatGPT"),"–")</f>
        <v>–</v>
      </c>
      <c r="C62" s="25" t="str">
        <f aca="false">IFERROR(COUNTIFS(Erhebungsbogen!$L$5:$L$2000,"Ja",Erhebungsbogen!$H$5:$H$2000,"Husten/Hals",Erhebungsbogen!$F$5:$F$2000,"Claude")/COUNTIFS(Erhebungsbogen!$H$5:$H$2000,"Husten/Hals",Erhebungsbogen!$F$5:$F$2000,"Claude"),"–")</f>
        <v>–</v>
      </c>
      <c r="D62" s="25" t="str">
        <f aca="false">IFERROR(COUNTIFS(Erhebungsbogen!$L$5:$L$2000,"Ja",Erhebungsbogen!$H$5:$H$2000,"Husten/Hals",Erhebungsbogen!$F$5:$F$2000,"Gemini")/COUNTIFS(Erhebungsbogen!$H$5:$H$2000,"Husten/Hals",Erhebungsbogen!$F$5:$F$2000,"Gemini"),"–")</f>
        <v>–</v>
      </c>
      <c r="E62" s="25" t="str">
        <f aca="false">IFERROR(COUNTIFS(Erhebungsbogen!$L$5:$L$2000,"Ja",Erhebungsbogen!$H$5:$H$2000,"Husten/Hals",Erhebungsbogen!$F$5:$F$2000,"Google AI Overview")/COUNTIFS(Erhebungsbogen!$H$5:$H$2000,"Husten/Hals",Erhebungsbogen!$F$5:$F$2000,"Google AI Overview"),"–")</f>
        <v>–</v>
      </c>
      <c r="F62" s="25" t="str">
        <f aca="false">IFERROR(COUNTIFS(Erhebungsbogen!$L$5:$L$2000,"Ja",Erhebungsbogen!$H$5:$H$2000,"Husten/Hals",Erhebungsbogen!$F$5:$F$2000,"Perplexity")/COUNTIFS(Erhebungsbogen!$H$5:$H$2000,"Husten/Hals",Erhebungsbogen!$F$5:$F$2000,"Perplexity"),"–")</f>
        <v>–</v>
      </c>
      <c r="G62" s="25" t="str">
        <f aca="false">IFERROR(COUNTIFS(Erhebungsbogen!$L$5:$L$2000,"Ja",Erhebungsbogen!$H$5:$H$2000,"Husten/Hals")/COUNTIFS(Erhebungsbogen!$H$5:$H$2000,"Husten/Hals"),"–")</f>
        <v>–</v>
      </c>
      <c r="H62" s="24"/>
    </row>
    <row r="63" customFormat="false" ht="15" hidden="false" customHeight="false" outlineLevel="0" collapsed="false">
      <c r="A63" s="16" t="s">
        <v>85</v>
      </c>
      <c r="B63" s="25" t="str">
        <f aca="false">IFERROR(COUNTIFS(Erhebungsbogen!$L$5:$L$2000,"Ja",Erhebungsbogen!$H$5:$H$2000,"Schmerz/Fieber",Erhebungsbogen!$F$5:$F$2000,"ChatGPT")/COUNTIFS(Erhebungsbogen!$H$5:$H$2000,"Schmerz/Fieber",Erhebungsbogen!$F$5:$F$2000,"ChatGPT"),"–")</f>
        <v>–</v>
      </c>
      <c r="C63" s="25" t="str">
        <f aca="false">IFERROR(COUNTIFS(Erhebungsbogen!$L$5:$L$2000,"Ja",Erhebungsbogen!$H$5:$H$2000,"Schmerz/Fieber",Erhebungsbogen!$F$5:$F$2000,"Claude")/COUNTIFS(Erhebungsbogen!$H$5:$H$2000,"Schmerz/Fieber",Erhebungsbogen!$F$5:$F$2000,"Claude"),"–")</f>
        <v>–</v>
      </c>
      <c r="D63" s="25" t="str">
        <f aca="false">IFERROR(COUNTIFS(Erhebungsbogen!$L$5:$L$2000,"Ja",Erhebungsbogen!$H$5:$H$2000,"Schmerz/Fieber",Erhebungsbogen!$F$5:$F$2000,"Gemini")/COUNTIFS(Erhebungsbogen!$H$5:$H$2000,"Schmerz/Fieber",Erhebungsbogen!$F$5:$F$2000,"Gemini"),"–")</f>
        <v>–</v>
      </c>
      <c r="E63" s="25" t="str">
        <f aca="false">IFERROR(COUNTIFS(Erhebungsbogen!$L$5:$L$2000,"Ja",Erhebungsbogen!$H$5:$H$2000,"Schmerz/Fieber",Erhebungsbogen!$F$5:$F$2000,"Google AI Overview")/COUNTIFS(Erhebungsbogen!$H$5:$H$2000,"Schmerz/Fieber",Erhebungsbogen!$F$5:$F$2000,"Google AI Overview"),"–")</f>
        <v>–</v>
      </c>
      <c r="F63" s="25" t="str">
        <f aca="false">IFERROR(COUNTIFS(Erhebungsbogen!$L$5:$L$2000,"Ja",Erhebungsbogen!$H$5:$H$2000,"Schmerz/Fieber",Erhebungsbogen!$F$5:$F$2000,"Perplexity")/COUNTIFS(Erhebungsbogen!$H$5:$H$2000,"Schmerz/Fieber",Erhebungsbogen!$F$5:$F$2000,"Perplexity"),"–")</f>
        <v>–</v>
      </c>
      <c r="G63" s="25" t="str">
        <f aca="false">IFERROR(COUNTIFS(Erhebungsbogen!$L$5:$L$2000,"Ja",Erhebungsbogen!$H$5:$H$2000,"Schmerz/Fieber")/COUNTIFS(Erhebungsbogen!$H$5:$H$2000,"Schmerz/Fieber"),"–")</f>
        <v>–</v>
      </c>
      <c r="H63" s="24"/>
    </row>
    <row r="64" customFormat="false" ht="15" hidden="false" customHeight="false" outlineLevel="0" collapsed="false">
      <c r="A64" s="16" t="s">
        <v>88</v>
      </c>
      <c r="B64" s="25" t="str">
        <f aca="false">IFERROR(COUNTIFS(Erhebungsbogen!$L$5:$L$2000,"Ja",Erhebungsbogen!$H$5:$H$2000,"Muskel/Gelenk",Erhebungsbogen!$F$5:$F$2000,"ChatGPT")/COUNTIFS(Erhebungsbogen!$H$5:$H$2000,"Muskel/Gelenk",Erhebungsbogen!$F$5:$F$2000,"ChatGPT"),"–")</f>
        <v>–</v>
      </c>
      <c r="C64" s="25" t="str">
        <f aca="false">IFERROR(COUNTIFS(Erhebungsbogen!$L$5:$L$2000,"Ja",Erhebungsbogen!$H$5:$H$2000,"Muskel/Gelenk",Erhebungsbogen!$F$5:$F$2000,"Claude")/COUNTIFS(Erhebungsbogen!$H$5:$H$2000,"Muskel/Gelenk",Erhebungsbogen!$F$5:$F$2000,"Claude"),"–")</f>
        <v>–</v>
      </c>
      <c r="D64" s="25" t="str">
        <f aca="false">IFERROR(COUNTIFS(Erhebungsbogen!$L$5:$L$2000,"Ja",Erhebungsbogen!$H$5:$H$2000,"Muskel/Gelenk",Erhebungsbogen!$F$5:$F$2000,"Gemini")/COUNTIFS(Erhebungsbogen!$H$5:$H$2000,"Muskel/Gelenk",Erhebungsbogen!$F$5:$F$2000,"Gemini"),"–")</f>
        <v>–</v>
      </c>
      <c r="E64" s="25" t="str">
        <f aca="false">IFERROR(COUNTIFS(Erhebungsbogen!$L$5:$L$2000,"Ja",Erhebungsbogen!$H$5:$H$2000,"Muskel/Gelenk",Erhebungsbogen!$F$5:$F$2000,"Google AI Overview")/COUNTIFS(Erhebungsbogen!$H$5:$H$2000,"Muskel/Gelenk",Erhebungsbogen!$F$5:$F$2000,"Google AI Overview"),"–")</f>
        <v>–</v>
      </c>
      <c r="F64" s="25" t="str">
        <f aca="false">IFERROR(COUNTIFS(Erhebungsbogen!$L$5:$L$2000,"Ja",Erhebungsbogen!$H$5:$H$2000,"Muskel/Gelenk",Erhebungsbogen!$F$5:$F$2000,"Perplexity")/COUNTIFS(Erhebungsbogen!$H$5:$H$2000,"Muskel/Gelenk",Erhebungsbogen!$F$5:$F$2000,"Perplexity"),"–")</f>
        <v>–</v>
      </c>
      <c r="G64" s="25" t="str">
        <f aca="false">IFERROR(COUNTIFS(Erhebungsbogen!$L$5:$L$2000,"Ja",Erhebungsbogen!$H$5:$H$2000,"Muskel/Gelenk")/COUNTIFS(Erhebungsbogen!$H$5:$H$2000,"Muskel/Gelenk"),"–")</f>
        <v>–</v>
      </c>
      <c r="H64" s="24"/>
    </row>
    <row r="65" customFormat="false" ht="15" hidden="false" customHeight="false" outlineLevel="0" collapsed="false">
      <c r="A65" s="16" t="s">
        <v>91</v>
      </c>
      <c r="B65" s="25" t="str">
        <f aca="false">IFERROR(COUNTIFS(Erhebungsbogen!$L$5:$L$2000,"Ja",Erhebungsbogen!$H$5:$H$2000,"Magen/Darm",Erhebungsbogen!$F$5:$F$2000,"ChatGPT")/COUNTIFS(Erhebungsbogen!$H$5:$H$2000,"Magen/Darm",Erhebungsbogen!$F$5:$F$2000,"ChatGPT"),"–")</f>
        <v>–</v>
      </c>
      <c r="C65" s="25" t="str">
        <f aca="false">IFERROR(COUNTIFS(Erhebungsbogen!$L$5:$L$2000,"Ja",Erhebungsbogen!$H$5:$H$2000,"Magen/Darm",Erhebungsbogen!$F$5:$F$2000,"Claude")/COUNTIFS(Erhebungsbogen!$H$5:$H$2000,"Magen/Darm",Erhebungsbogen!$F$5:$F$2000,"Claude"),"–")</f>
        <v>–</v>
      </c>
      <c r="D65" s="25" t="str">
        <f aca="false">IFERROR(COUNTIFS(Erhebungsbogen!$L$5:$L$2000,"Ja",Erhebungsbogen!$H$5:$H$2000,"Magen/Darm",Erhebungsbogen!$F$5:$F$2000,"Gemini")/COUNTIFS(Erhebungsbogen!$H$5:$H$2000,"Magen/Darm",Erhebungsbogen!$F$5:$F$2000,"Gemini"),"–")</f>
        <v>–</v>
      </c>
      <c r="E65" s="25" t="str">
        <f aca="false">IFERROR(COUNTIFS(Erhebungsbogen!$L$5:$L$2000,"Ja",Erhebungsbogen!$H$5:$H$2000,"Magen/Darm",Erhebungsbogen!$F$5:$F$2000,"Google AI Overview")/COUNTIFS(Erhebungsbogen!$H$5:$H$2000,"Magen/Darm",Erhebungsbogen!$F$5:$F$2000,"Google AI Overview"),"–")</f>
        <v>–</v>
      </c>
      <c r="F65" s="25" t="str">
        <f aca="false">IFERROR(COUNTIFS(Erhebungsbogen!$L$5:$L$2000,"Ja",Erhebungsbogen!$H$5:$H$2000,"Magen/Darm",Erhebungsbogen!$F$5:$F$2000,"Perplexity")/COUNTIFS(Erhebungsbogen!$H$5:$H$2000,"Magen/Darm",Erhebungsbogen!$F$5:$F$2000,"Perplexity"),"–")</f>
        <v>–</v>
      </c>
      <c r="G65" s="25" t="str">
        <f aca="false">IFERROR(COUNTIFS(Erhebungsbogen!$L$5:$L$2000,"Ja",Erhebungsbogen!$H$5:$H$2000,"Magen/Darm")/COUNTIFS(Erhebungsbogen!$H$5:$H$2000,"Magen/Darm"),"–")</f>
        <v>–</v>
      </c>
      <c r="H65" s="24"/>
    </row>
    <row r="66" customFormat="false" ht="15" hidden="false" customHeight="false" outlineLevel="0" collapsed="false">
      <c r="A66" s="16" t="s">
        <v>94</v>
      </c>
      <c r="B66" s="25" t="n">
        <f aca="false">IFERROR(COUNTIFS(Erhebungsbogen!$L$5:$L$2000,"Ja",Erhebungsbogen!$H$5:$H$2000,"Vitamine/Mineralstoffe",Erhebungsbogen!$F$5:$F$2000,"ChatGPT")/COUNTIFS(Erhebungsbogen!$H$5:$H$2000,"Vitamine/Mineralstoffe",Erhebungsbogen!$F$5:$F$2000,"ChatGPT"),"–")</f>
        <v>0</v>
      </c>
      <c r="C66" s="25" t="str">
        <f aca="false">IFERROR(COUNTIFS(Erhebungsbogen!$L$5:$L$2000,"Ja",Erhebungsbogen!$H$5:$H$2000,"Vitamine/Mineralstoffe",Erhebungsbogen!$F$5:$F$2000,"Claude")/COUNTIFS(Erhebungsbogen!$H$5:$H$2000,"Vitamine/Mineralstoffe",Erhebungsbogen!$F$5:$F$2000,"Claude"),"–")</f>
        <v>–</v>
      </c>
      <c r="D66" s="25" t="str">
        <f aca="false">IFERROR(COUNTIFS(Erhebungsbogen!$L$5:$L$2000,"Ja",Erhebungsbogen!$H$5:$H$2000,"Vitamine/Mineralstoffe",Erhebungsbogen!$F$5:$F$2000,"Gemini")/COUNTIFS(Erhebungsbogen!$H$5:$H$2000,"Vitamine/Mineralstoffe",Erhebungsbogen!$F$5:$F$2000,"Gemini"),"–")</f>
        <v>–</v>
      </c>
      <c r="E66" s="25" t="str">
        <f aca="false">IFERROR(COUNTIFS(Erhebungsbogen!$L$5:$L$2000,"Ja",Erhebungsbogen!$H$5:$H$2000,"Vitamine/Mineralstoffe",Erhebungsbogen!$F$5:$F$2000,"Google AI Overview")/COUNTIFS(Erhebungsbogen!$H$5:$H$2000,"Vitamine/Mineralstoffe",Erhebungsbogen!$F$5:$F$2000,"Google AI Overview"),"–")</f>
        <v>–</v>
      </c>
      <c r="F66" s="25" t="str">
        <f aca="false">IFERROR(COUNTIFS(Erhebungsbogen!$L$5:$L$2000,"Ja",Erhebungsbogen!$H$5:$H$2000,"Vitamine/Mineralstoffe",Erhebungsbogen!$F$5:$F$2000,"Perplexity")/COUNTIFS(Erhebungsbogen!$H$5:$H$2000,"Vitamine/Mineralstoffe",Erhebungsbogen!$F$5:$F$2000,"Perplexity"),"–")</f>
        <v>–</v>
      </c>
      <c r="G66" s="25" t="n">
        <f aca="false">IFERROR(COUNTIFS(Erhebungsbogen!$L$5:$L$2000,"Ja",Erhebungsbogen!$H$5:$H$2000,"Vitamine/Mineralstoffe")/COUNTIFS(Erhebungsbogen!$H$5:$H$2000,"Vitamine/Mineralstoffe"),"–")</f>
        <v>0</v>
      </c>
      <c r="H66" s="24"/>
    </row>
    <row r="67" customFormat="false" ht="15" hidden="false" customHeight="false" outlineLevel="0" collapsed="false">
      <c r="A67" s="16" t="s">
        <v>97</v>
      </c>
      <c r="B67" s="25" t="str">
        <f aca="false">IFERROR(COUNTIFS(Erhebungsbogen!$L$5:$L$2000,"Ja",Erhebungsbogen!$H$5:$H$2000,"Allergie",Erhebungsbogen!$F$5:$F$2000,"ChatGPT")/COUNTIFS(Erhebungsbogen!$H$5:$H$2000,"Allergie",Erhebungsbogen!$F$5:$F$2000,"ChatGPT"),"–")</f>
        <v>–</v>
      </c>
      <c r="C67" s="25" t="str">
        <f aca="false">IFERROR(COUNTIFS(Erhebungsbogen!$L$5:$L$2000,"Ja",Erhebungsbogen!$H$5:$H$2000,"Allergie",Erhebungsbogen!$F$5:$F$2000,"Claude")/COUNTIFS(Erhebungsbogen!$H$5:$H$2000,"Allergie",Erhebungsbogen!$F$5:$F$2000,"Claude"),"–")</f>
        <v>–</v>
      </c>
      <c r="D67" s="25" t="str">
        <f aca="false">IFERROR(COUNTIFS(Erhebungsbogen!$L$5:$L$2000,"Ja",Erhebungsbogen!$H$5:$H$2000,"Allergie",Erhebungsbogen!$F$5:$F$2000,"Gemini")/COUNTIFS(Erhebungsbogen!$H$5:$H$2000,"Allergie",Erhebungsbogen!$F$5:$F$2000,"Gemini"),"–")</f>
        <v>–</v>
      </c>
      <c r="E67" s="25" t="str">
        <f aca="false">IFERROR(COUNTIFS(Erhebungsbogen!$L$5:$L$2000,"Ja",Erhebungsbogen!$H$5:$H$2000,"Allergie",Erhebungsbogen!$F$5:$F$2000,"Google AI Overview")/COUNTIFS(Erhebungsbogen!$H$5:$H$2000,"Allergie",Erhebungsbogen!$F$5:$F$2000,"Google AI Overview"),"–")</f>
        <v>–</v>
      </c>
      <c r="F67" s="25" t="str">
        <f aca="false">IFERROR(COUNTIFS(Erhebungsbogen!$L$5:$L$2000,"Ja",Erhebungsbogen!$H$5:$H$2000,"Allergie",Erhebungsbogen!$F$5:$F$2000,"Perplexity")/COUNTIFS(Erhebungsbogen!$H$5:$H$2000,"Allergie",Erhebungsbogen!$F$5:$F$2000,"Perplexity"),"–")</f>
        <v>–</v>
      </c>
      <c r="G67" s="25" t="str">
        <f aca="false">IFERROR(COUNTIFS(Erhebungsbogen!$L$5:$L$2000,"Ja",Erhebungsbogen!$H$5:$H$2000,"Allergie")/COUNTIFS(Erhebungsbogen!$H$5:$H$2000,"Allergie"),"–")</f>
        <v>–</v>
      </c>
      <c r="H67" s="24"/>
    </row>
    <row r="68" customFormat="false" ht="15" hidden="false" customHeight="false" outlineLevel="0" collapsed="false">
      <c r="A68" s="16" t="s">
        <v>100</v>
      </c>
      <c r="B68" s="25" t="str">
        <f aca="false">IFERROR(COUNTIFS(Erhebungsbogen!$L$5:$L$2000,"Ja",Erhebungsbogen!$H$5:$H$2000,"Haut/Wunde",Erhebungsbogen!$F$5:$F$2000,"ChatGPT")/COUNTIFS(Erhebungsbogen!$H$5:$H$2000,"Haut/Wunde",Erhebungsbogen!$F$5:$F$2000,"ChatGPT"),"–")</f>
        <v>–</v>
      </c>
      <c r="C68" s="25" t="str">
        <f aca="false">IFERROR(COUNTIFS(Erhebungsbogen!$L$5:$L$2000,"Ja",Erhebungsbogen!$H$5:$H$2000,"Haut/Wunde",Erhebungsbogen!$F$5:$F$2000,"Claude")/COUNTIFS(Erhebungsbogen!$H$5:$H$2000,"Haut/Wunde",Erhebungsbogen!$F$5:$F$2000,"Claude"),"–")</f>
        <v>–</v>
      </c>
      <c r="D68" s="25" t="str">
        <f aca="false">IFERROR(COUNTIFS(Erhebungsbogen!$L$5:$L$2000,"Ja",Erhebungsbogen!$H$5:$H$2000,"Haut/Wunde",Erhebungsbogen!$F$5:$F$2000,"Gemini")/COUNTIFS(Erhebungsbogen!$H$5:$H$2000,"Haut/Wunde",Erhebungsbogen!$F$5:$F$2000,"Gemini"),"–")</f>
        <v>–</v>
      </c>
      <c r="E68" s="25" t="str">
        <f aca="false">IFERROR(COUNTIFS(Erhebungsbogen!$L$5:$L$2000,"Ja",Erhebungsbogen!$H$5:$H$2000,"Haut/Wunde",Erhebungsbogen!$F$5:$F$2000,"Google AI Overview")/COUNTIFS(Erhebungsbogen!$H$5:$H$2000,"Haut/Wunde",Erhebungsbogen!$F$5:$F$2000,"Google AI Overview"),"–")</f>
        <v>–</v>
      </c>
      <c r="F68" s="25" t="str">
        <f aca="false">IFERROR(COUNTIFS(Erhebungsbogen!$L$5:$L$2000,"Ja",Erhebungsbogen!$H$5:$H$2000,"Haut/Wunde",Erhebungsbogen!$F$5:$F$2000,"Perplexity")/COUNTIFS(Erhebungsbogen!$H$5:$H$2000,"Haut/Wunde",Erhebungsbogen!$F$5:$F$2000,"Perplexity"),"–")</f>
        <v>–</v>
      </c>
      <c r="G68" s="25" t="str">
        <f aca="false">IFERROR(COUNTIFS(Erhebungsbogen!$L$5:$L$2000,"Ja",Erhebungsbogen!$H$5:$H$2000,"Haut/Wunde")/COUNTIFS(Erhebungsbogen!$H$5:$H$2000,"Haut/Wunde"),"–")</f>
        <v>–</v>
      </c>
      <c r="H68" s="24"/>
    </row>
    <row r="69" customFormat="false" ht="15" hidden="false" customHeight="false" outlineLevel="0" collapsed="false">
      <c r="A69" s="16" t="s">
        <v>103</v>
      </c>
      <c r="B69" s="25" t="str">
        <f aca="false">IFERROR(COUNTIFS(Erhebungsbogen!$L$5:$L$2000,"Ja",Erhebungsbogen!$H$5:$H$2000,"Schlaf/Nerven",Erhebungsbogen!$F$5:$F$2000,"ChatGPT")/COUNTIFS(Erhebungsbogen!$H$5:$H$2000,"Schlaf/Nerven",Erhebungsbogen!$F$5:$F$2000,"ChatGPT"),"–")</f>
        <v>–</v>
      </c>
      <c r="C69" s="25" t="str">
        <f aca="false">IFERROR(COUNTIFS(Erhebungsbogen!$L$5:$L$2000,"Ja",Erhebungsbogen!$H$5:$H$2000,"Schlaf/Nerven",Erhebungsbogen!$F$5:$F$2000,"Claude")/COUNTIFS(Erhebungsbogen!$H$5:$H$2000,"Schlaf/Nerven",Erhebungsbogen!$F$5:$F$2000,"Claude"),"–")</f>
        <v>–</v>
      </c>
      <c r="D69" s="25" t="str">
        <f aca="false">IFERROR(COUNTIFS(Erhebungsbogen!$L$5:$L$2000,"Ja",Erhebungsbogen!$H$5:$H$2000,"Schlaf/Nerven",Erhebungsbogen!$F$5:$F$2000,"Gemini")/COUNTIFS(Erhebungsbogen!$H$5:$H$2000,"Schlaf/Nerven",Erhebungsbogen!$F$5:$F$2000,"Gemini"),"–")</f>
        <v>–</v>
      </c>
      <c r="E69" s="25" t="str">
        <f aca="false">IFERROR(COUNTIFS(Erhebungsbogen!$L$5:$L$2000,"Ja",Erhebungsbogen!$H$5:$H$2000,"Schlaf/Nerven",Erhebungsbogen!$F$5:$F$2000,"Google AI Overview")/COUNTIFS(Erhebungsbogen!$H$5:$H$2000,"Schlaf/Nerven",Erhebungsbogen!$F$5:$F$2000,"Google AI Overview"),"–")</f>
        <v>–</v>
      </c>
      <c r="F69" s="25" t="str">
        <f aca="false">IFERROR(COUNTIFS(Erhebungsbogen!$L$5:$L$2000,"Ja",Erhebungsbogen!$H$5:$H$2000,"Schlaf/Nerven",Erhebungsbogen!$F$5:$F$2000,"Perplexity")/COUNTIFS(Erhebungsbogen!$H$5:$H$2000,"Schlaf/Nerven",Erhebungsbogen!$F$5:$F$2000,"Perplexity"),"–")</f>
        <v>–</v>
      </c>
      <c r="G69" s="25" t="str">
        <f aca="false">IFERROR(COUNTIFS(Erhebungsbogen!$L$5:$L$2000,"Ja",Erhebungsbogen!$H$5:$H$2000,"Schlaf/Nerven")/COUNTIFS(Erhebungsbogen!$H$5:$H$2000,"Schlaf/Nerven"),"–")</f>
        <v>–</v>
      </c>
      <c r="H69" s="24"/>
    </row>
    <row r="70" customFormat="false" ht="15" hidden="false" customHeight="false" outlineLevel="0" collapsed="false">
      <c r="A70" s="16" t="s">
        <v>106</v>
      </c>
      <c r="B70" s="25" t="str">
        <f aca="false">IFERROR(COUNTIFS(Erhebungsbogen!$L$5:$L$2000,"Ja",Erhebungsbogen!$H$5:$H$2000,"Augen",Erhebungsbogen!$F$5:$F$2000,"ChatGPT")/COUNTIFS(Erhebungsbogen!$H$5:$H$2000,"Augen",Erhebungsbogen!$F$5:$F$2000,"ChatGPT"),"–")</f>
        <v>–</v>
      </c>
      <c r="C70" s="25" t="str">
        <f aca="false">IFERROR(COUNTIFS(Erhebungsbogen!$L$5:$L$2000,"Ja",Erhebungsbogen!$H$5:$H$2000,"Augen",Erhebungsbogen!$F$5:$F$2000,"Claude")/COUNTIFS(Erhebungsbogen!$H$5:$H$2000,"Augen",Erhebungsbogen!$F$5:$F$2000,"Claude"),"–")</f>
        <v>–</v>
      </c>
      <c r="D70" s="25" t="str">
        <f aca="false">IFERROR(COUNTIFS(Erhebungsbogen!$L$5:$L$2000,"Ja",Erhebungsbogen!$H$5:$H$2000,"Augen",Erhebungsbogen!$F$5:$F$2000,"Gemini")/COUNTIFS(Erhebungsbogen!$H$5:$H$2000,"Augen",Erhebungsbogen!$F$5:$F$2000,"Gemini"),"–")</f>
        <v>–</v>
      </c>
      <c r="E70" s="25" t="str">
        <f aca="false">IFERROR(COUNTIFS(Erhebungsbogen!$L$5:$L$2000,"Ja",Erhebungsbogen!$H$5:$H$2000,"Augen",Erhebungsbogen!$F$5:$F$2000,"Google AI Overview")/COUNTIFS(Erhebungsbogen!$H$5:$H$2000,"Augen",Erhebungsbogen!$F$5:$F$2000,"Google AI Overview"),"–")</f>
        <v>–</v>
      </c>
      <c r="F70" s="25" t="str">
        <f aca="false">IFERROR(COUNTIFS(Erhebungsbogen!$L$5:$L$2000,"Ja",Erhebungsbogen!$H$5:$H$2000,"Augen",Erhebungsbogen!$F$5:$F$2000,"Perplexity")/COUNTIFS(Erhebungsbogen!$H$5:$H$2000,"Augen",Erhebungsbogen!$F$5:$F$2000,"Perplexity"),"–")</f>
        <v>–</v>
      </c>
      <c r="G70" s="25" t="str">
        <f aca="false">IFERROR(COUNTIFS(Erhebungsbogen!$L$5:$L$2000,"Ja",Erhebungsbogen!$H$5:$H$2000,"Augen")/COUNTIFS(Erhebungsbogen!$H$5:$H$2000,"Augen"),"–")</f>
        <v>–</v>
      </c>
      <c r="H70" s="24"/>
    </row>
    <row r="71" customFormat="false" ht="15" hidden="false" customHeight="false" outlineLevel="0" collapsed="false">
      <c r="A71" s="16" t="s">
        <v>108</v>
      </c>
      <c r="B71" s="27" t="n">
        <f aca="false">IFERROR(COUNTIFS(Erhebungsbogen!$L$5:$L$2000,"Ja",Erhebungsbogen!$F$5:$F$2000,"ChatGPT")/COUNTIFS(Erhebungsbogen!$F$5:$F$2000,"ChatGPT"),"–")</f>
        <v>0</v>
      </c>
      <c r="C71" s="27" t="str">
        <f aca="false">IFERROR(COUNTIFS(Erhebungsbogen!$L$5:$L$2000,"Ja",Erhebungsbogen!$F$5:$F$2000,"Claude")/COUNTIFS(Erhebungsbogen!$F$5:$F$2000,"Claude"),"–")</f>
        <v>–</v>
      </c>
      <c r="D71" s="27" t="str">
        <f aca="false">IFERROR(COUNTIFS(Erhebungsbogen!$L$5:$L$2000,"Ja",Erhebungsbogen!$F$5:$F$2000,"Gemini")/COUNTIFS(Erhebungsbogen!$F$5:$F$2000,"Gemini"),"–")</f>
        <v>–</v>
      </c>
      <c r="E71" s="27" t="str">
        <f aca="false">IFERROR(COUNTIFS(Erhebungsbogen!$L$5:$L$2000,"Ja",Erhebungsbogen!$F$5:$F$2000,"Google AI Overview")/COUNTIFS(Erhebungsbogen!$F$5:$F$2000,"Google AI Overview"),"–")</f>
        <v>–</v>
      </c>
      <c r="F71" s="27" t="str">
        <f aca="false">IFERROR(COUNTIFS(Erhebungsbogen!$L$5:$L$2000,"Ja",Erhebungsbogen!$F$5:$F$2000,"Perplexity")/COUNTIFS(Erhebungsbogen!$F$5:$F$2000,"Perplexity"),"–")</f>
        <v>–</v>
      </c>
      <c r="G71" s="27" t="n">
        <f aca="false">IFERROR(COUNTIFS(Erhebungsbogen!$L$5:$L$2000,"Ja")/COUNTA(Erhebungsbogen!$A$5:$A$2000),"–")</f>
        <v>0</v>
      </c>
      <c r="H71" s="24"/>
    </row>
    <row r="73" customFormat="false" ht="15" hidden="false" customHeight="false" outlineLevel="0" collapsed="false">
      <c r="A73" s="8" t="s">
        <v>567</v>
      </c>
      <c r="B73" s="8"/>
      <c r="C73" s="8"/>
      <c r="D73" s="8"/>
      <c r="E73" s="8"/>
      <c r="F73" s="8"/>
      <c r="G73" s="8"/>
      <c r="H73" s="8"/>
    </row>
    <row r="74" customFormat="false" ht="30" hidden="false" customHeight="true" outlineLevel="0" collapsed="false">
      <c r="A74" s="12" t="s">
        <v>75</v>
      </c>
      <c r="B74" s="12" t="s">
        <v>536</v>
      </c>
      <c r="C74" s="12" t="s">
        <v>552</v>
      </c>
      <c r="D74" s="12" t="s">
        <v>553</v>
      </c>
      <c r="E74" s="12" t="s">
        <v>554</v>
      </c>
      <c r="F74" s="12" t="s">
        <v>555</v>
      </c>
      <c r="G74" s="12" t="s">
        <v>108</v>
      </c>
      <c r="H74" s="24"/>
    </row>
    <row r="75" customFormat="false" ht="15" hidden="false" customHeight="false" outlineLevel="0" collapsed="false">
      <c r="A75" s="16" t="s">
        <v>79</v>
      </c>
      <c r="B75" s="25" t="str">
        <f aca="false">IFERROR(COUNTIFS(Erhebungsbogen!$O$5:$O$2000,"Ja",Erhebungsbogen!$H$5:$H$2000,"Erkältung/Grippe",Erhebungsbogen!$F$5:$F$2000,"ChatGPT")/COUNTIFS(Erhebungsbogen!$H$5:$H$2000,"Erkältung/Grippe",Erhebungsbogen!$F$5:$F$2000,"ChatGPT"),"–")</f>
        <v>–</v>
      </c>
      <c r="C75" s="25" t="str">
        <f aca="false">IFERROR(COUNTIFS(Erhebungsbogen!$O$5:$O$2000,"Ja",Erhebungsbogen!$H$5:$H$2000,"Erkältung/Grippe",Erhebungsbogen!$F$5:$F$2000,"Claude")/COUNTIFS(Erhebungsbogen!$H$5:$H$2000,"Erkältung/Grippe",Erhebungsbogen!$F$5:$F$2000,"Claude"),"–")</f>
        <v>–</v>
      </c>
      <c r="D75" s="25" t="str">
        <f aca="false">IFERROR(COUNTIFS(Erhebungsbogen!$O$5:$O$2000,"Ja",Erhebungsbogen!$H$5:$H$2000,"Erkältung/Grippe",Erhebungsbogen!$F$5:$F$2000,"Gemini")/COUNTIFS(Erhebungsbogen!$H$5:$H$2000,"Erkältung/Grippe",Erhebungsbogen!$F$5:$F$2000,"Gemini"),"–")</f>
        <v>–</v>
      </c>
      <c r="E75" s="25" t="str">
        <f aca="false">IFERROR(COUNTIFS(Erhebungsbogen!$O$5:$O$2000,"Ja",Erhebungsbogen!$H$5:$H$2000,"Erkältung/Grippe",Erhebungsbogen!$F$5:$F$2000,"Google AI Overview")/COUNTIFS(Erhebungsbogen!$H$5:$H$2000,"Erkältung/Grippe",Erhebungsbogen!$F$5:$F$2000,"Google AI Overview"),"–")</f>
        <v>–</v>
      </c>
      <c r="F75" s="25" t="str">
        <f aca="false">IFERROR(COUNTIFS(Erhebungsbogen!$O$5:$O$2000,"Ja",Erhebungsbogen!$H$5:$H$2000,"Erkältung/Grippe",Erhebungsbogen!$F$5:$F$2000,"Perplexity")/COUNTIFS(Erhebungsbogen!$H$5:$H$2000,"Erkältung/Grippe",Erhebungsbogen!$F$5:$F$2000,"Perplexity"),"–")</f>
        <v>–</v>
      </c>
      <c r="G75" s="25" t="str">
        <f aca="false">IFERROR(COUNTIFS(Erhebungsbogen!$O$5:$O$2000,"Ja",Erhebungsbogen!$H$5:$H$2000,"Erkältung/Grippe")/COUNTIFS(Erhebungsbogen!$H$5:$H$2000,"Erkältung/Grippe"),"–")</f>
        <v>–</v>
      </c>
      <c r="H75" s="24"/>
    </row>
    <row r="76" customFormat="false" ht="15" hidden="false" customHeight="false" outlineLevel="0" collapsed="false">
      <c r="A76" s="16" t="s">
        <v>82</v>
      </c>
      <c r="B76" s="25" t="str">
        <f aca="false">IFERROR(COUNTIFS(Erhebungsbogen!$O$5:$O$2000,"Ja",Erhebungsbogen!$H$5:$H$2000,"Husten/Hals",Erhebungsbogen!$F$5:$F$2000,"ChatGPT")/COUNTIFS(Erhebungsbogen!$H$5:$H$2000,"Husten/Hals",Erhebungsbogen!$F$5:$F$2000,"ChatGPT"),"–")</f>
        <v>–</v>
      </c>
      <c r="C76" s="25" t="str">
        <f aca="false">IFERROR(COUNTIFS(Erhebungsbogen!$O$5:$O$2000,"Ja",Erhebungsbogen!$H$5:$H$2000,"Husten/Hals",Erhebungsbogen!$F$5:$F$2000,"Claude")/COUNTIFS(Erhebungsbogen!$H$5:$H$2000,"Husten/Hals",Erhebungsbogen!$F$5:$F$2000,"Claude"),"–")</f>
        <v>–</v>
      </c>
      <c r="D76" s="25" t="str">
        <f aca="false">IFERROR(COUNTIFS(Erhebungsbogen!$O$5:$O$2000,"Ja",Erhebungsbogen!$H$5:$H$2000,"Husten/Hals",Erhebungsbogen!$F$5:$F$2000,"Gemini")/COUNTIFS(Erhebungsbogen!$H$5:$H$2000,"Husten/Hals",Erhebungsbogen!$F$5:$F$2000,"Gemini"),"–")</f>
        <v>–</v>
      </c>
      <c r="E76" s="25" t="str">
        <f aca="false">IFERROR(COUNTIFS(Erhebungsbogen!$O$5:$O$2000,"Ja",Erhebungsbogen!$H$5:$H$2000,"Husten/Hals",Erhebungsbogen!$F$5:$F$2000,"Google AI Overview")/COUNTIFS(Erhebungsbogen!$H$5:$H$2000,"Husten/Hals",Erhebungsbogen!$F$5:$F$2000,"Google AI Overview"),"–")</f>
        <v>–</v>
      </c>
      <c r="F76" s="25" t="str">
        <f aca="false">IFERROR(COUNTIFS(Erhebungsbogen!$O$5:$O$2000,"Ja",Erhebungsbogen!$H$5:$H$2000,"Husten/Hals",Erhebungsbogen!$F$5:$F$2000,"Perplexity")/COUNTIFS(Erhebungsbogen!$H$5:$H$2000,"Husten/Hals",Erhebungsbogen!$F$5:$F$2000,"Perplexity"),"–")</f>
        <v>–</v>
      </c>
      <c r="G76" s="25" t="str">
        <f aca="false">IFERROR(COUNTIFS(Erhebungsbogen!$O$5:$O$2000,"Ja",Erhebungsbogen!$H$5:$H$2000,"Husten/Hals")/COUNTIFS(Erhebungsbogen!$H$5:$H$2000,"Husten/Hals"),"–")</f>
        <v>–</v>
      </c>
      <c r="H76" s="24"/>
    </row>
    <row r="77" customFormat="false" ht="15" hidden="false" customHeight="false" outlineLevel="0" collapsed="false">
      <c r="A77" s="16" t="s">
        <v>85</v>
      </c>
      <c r="B77" s="25" t="str">
        <f aca="false">IFERROR(COUNTIFS(Erhebungsbogen!$O$5:$O$2000,"Ja",Erhebungsbogen!$H$5:$H$2000,"Schmerz/Fieber",Erhebungsbogen!$F$5:$F$2000,"ChatGPT")/COUNTIFS(Erhebungsbogen!$H$5:$H$2000,"Schmerz/Fieber",Erhebungsbogen!$F$5:$F$2000,"ChatGPT"),"–")</f>
        <v>–</v>
      </c>
      <c r="C77" s="25" t="str">
        <f aca="false">IFERROR(COUNTIFS(Erhebungsbogen!$O$5:$O$2000,"Ja",Erhebungsbogen!$H$5:$H$2000,"Schmerz/Fieber",Erhebungsbogen!$F$5:$F$2000,"Claude")/COUNTIFS(Erhebungsbogen!$H$5:$H$2000,"Schmerz/Fieber",Erhebungsbogen!$F$5:$F$2000,"Claude"),"–")</f>
        <v>–</v>
      </c>
      <c r="D77" s="25" t="str">
        <f aca="false">IFERROR(COUNTIFS(Erhebungsbogen!$O$5:$O$2000,"Ja",Erhebungsbogen!$H$5:$H$2000,"Schmerz/Fieber",Erhebungsbogen!$F$5:$F$2000,"Gemini")/COUNTIFS(Erhebungsbogen!$H$5:$H$2000,"Schmerz/Fieber",Erhebungsbogen!$F$5:$F$2000,"Gemini"),"–")</f>
        <v>–</v>
      </c>
      <c r="E77" s="25" t="str">
        <f aca="false">IFERROR(COUNTIFS(Erhebungsbogen!$O$5:$O$2000,"Ja",Erhebungsbogen!$H$5:$H$2000,"Schmerz/Fieber",Erhebungsbogen!$F$5:$F$2000,"Google AI Overview")/COUNTIFS(Erhebungsbogen!$H$5:$H$2000,"Schmerz/Fieber",Erhebungsbogen!$F$5:$F$2000,"Google AI Overview"),"–")</f>
        <v>–</v>
      </c>
      <c r="F77" s="25" t="str">
        <f aca="false">IFERROR(COUNTIFS(Erhebungsbogen!$O$5:$O$2000,"Ja",Erhebungsbogen!$H$5:$H$2000,"Schmerz/Fieber",Erhebungsbogen!$F$5:$F$2000,"Perplexity")/COUNTIFS(Erhebungsbogen!$H$5:$H$2000,"Schmerz/Fieber",Erhebungsbogen!$F$5:$F$2000,"Perplexity"),"–")</f>
        <v>–</v>
      </c>
      <c r="G77" s="25" t="str">
        <f aca="false">IFERROR(COUNTIFS(Erhebungsbogen!$O$5:$O$2000,"Ja",Erhebungsbogen!$H$5:$H$2000,"Schmerz/Fieber")/COUNTIFS(Erhebungsbogen!$H$5:$H$2000,"Schmerz/Fieber"),"–")</f>
        <v>–</v>
      </c>
      <c r="H77" s="24"/>
    </row>
    <row r="78" customFormat="false" ht="15" hidden="false" customHeight="false" outlineLevel="0" collapsed="false">
      <c r="A78" s="16" t="s">
        <v>88</v>
      </c>
      <c r="B78" s="25" t="str">
        <f aca="false">IFERROR(COUNTIFS(Erhebungsbogen!$O$5:$O$2000,"Ja",Erhebungsbogen!$H$5:$H$2000,"Muskel/Gelenk",Erhebungsbogen!$F$5:$F$2000,"ChatGPT")/COUNTIFS(Erhebungsbogen!$H$5:$H$2000,"Muskel/Gelenk",Erhebungsbogen!$F$5:$F$2000,"ChatGPT"),"–")</f>
        <v>–</v>
      </c>
      <c r="C78" s="25" t="str">
        <f aca="false">IFERROR(COUNTIFS(Erhebungsbogen!$O$5:$O$2000,"Ja",Erhebungsbogen!$H$5:$H$2000,"Muskel/Gelenk",Erhebungsbogen!$F$5:$F$2000,"Claude")/COUNTIFS(Erhebungsbogen!$H$5:$H$2000,"Muskel/Gelenk",Erhebungsbogen!$F$5:$F$2000,"Claude"),"–")</f>
        <v>–</v>
      </c>
      <c r="D78" s="25" t="str">
        <f aca="false">IFERROR(COUNTIFS(Erhebungsbogen!$O$5:$O$2000,"Ja",Erhebungsbogen!$H$5:$H$2000,"Muskel/Gelenk",Erhebungsbogen!$F$5:$F$2000,"Gemini")/COUNTIFS(Erhebungsbogen!$H$5:$H$2000,"Muskel/Gelenk",Erhebungsbogen!$F$5:$F$2000,"Gemini"),"–")</f>
        <v>–</v>
      </c>
      <c r="E78" s="25" t="str">
        <f aca="false">IFERROR(COUNTIFS(Erhebungsbogen!$O$5:$O$2000,"Ja",Erhebungsbogen!$H$5:$H$2000,"Muskel/Gelenk",Erhebungsbogen!$F$5:$F$2000,"Google AI Overview")/COUNTIFS(Erhebungsbogen!$H$5:$H$2000,"Muskel/Gelenk",Erhebungsbogen!$F$5:$F$2000,"Google AI Overview"),"–")</f>
        <v>–</v>
      </c>
      <c r="F78" s="25" t="str">
        <f aca="false">IFERROR(COUNTIFS(Erhebungsbogen!$O$5:$O$2000,"Ja",Erhebungsbogen!$H$5:$H$2000,"Muskel/Gelenk",Erhebungsbogen!$F$5:$F$2000,"Perplexity")/COUNTIFS(Erhebungsbogen!$H$5:$H$2000,"Muskel/Gelenk",Erhebungsbogen!$F$5:$F$2000,"Perplexity"),"–")</f>
        <v>–</v>
      </c>
      <c r="G78" s="25" t="str">
        <f aca="false">IFERROR(COUNTIFS(Erhebungsbogen!$O$5:$O$2000,"Ja",Erhebungsbogen!$H$5:$H$2000,"Muskel/Gelenk")/COUNTIFS(Erhebungsbogen!$H$5:$H$2000,"Muskel/Gelenk"),"–")</f>
        <v>–</v>
      </c>
      <c r="H78" s="24"/>
    </row>
    <row r="79" customFormat="false" ht="15" hidden="false" customHeight="false" outlineLevel="0" collapsed="false">
      <c r="A79" s="16" t="s">
        <v>91</v>
      </c>
      <c r="B79" s="25" t="str">
        <f aca="false">IFERROR(COUNTIFS(Erhebungsbogen!$O$5:$O$2000,"Ja",Erhebungsbogen!$H$5:$H$2000,"Magen/Darm",Erhebungsbogen!$F$5:$F$2000,"ChatGPT")/COUNTIFS(Erhebungsbogen!$H$5:$H$2000,"Magen/Darm",Erhebungsbogen!$F$5:$F$2000,"ChatGPT"),"–")</f>
        <v>–</v>
      </c>
      <c r="C79" s="25" t="str">
        <f aca="false">IFERROR(COUNTIFS(Erhebungsbogen!$O$5:$O$2000,"Ja",Erhebungsbogen!$H$5:$H$2000,"Magen/Darm",Erhebungsbogen!$F$5:$F$2000,"Claude")/COUNTIFS(Erhebungsbogen!$H$5:$H$2000,"Magen/Darm",Erhebungsbogen!$F$5:$F$2000,"Claude"),"–")</f>
        <v>–</v>
      </c>
      <c r="D79" s="25" t="str">
        <f aca="false">IFERROR(COUNTIFS(Erhebungsbogen!$O$5:$O$2000,"Ja",Erhebungsbogen!$H$5:$H$2000,"Magen/Darm",Erhebungsbogen!$F$5:$F$2000,"Gemini")/COUNTIFS(Erhebungsbogen!$H$5:$H$2000,"Magen/Darm",Erhebungsbogen!$F$5:$F$2000,"Gemini"),"–")</f>
        <v>–</v>
      </c>
      <c r="E79" s="25" t="str">
        <f aca="false">IFERROR(COUNTIFS(Erhebungsbogen!$O$5:$O$2000,"Ja",Erhebungsbogen!$H$5:$H$2000,"Magen/Darm",Erhebungsbogen!$F$5:$F$2000,"Google AI Overview")/COUNTIFS(Erhebungsbogen!$H$5:$H$2000,"Magen/Darm",Erhebungsbogen!$F$5:$F$2000,"Google AI Overview"),"–")</f>
        <v>–</v>
      </c>
      <c r="F79" s="25" t="str">
        <f aca="false">IFERROR(COUNTIFS(Erhebungsbogen!$O$5:$O$2000,"Ja",Erhebungsbogen!$H$5:$H$2000,"Magen/Darm",Erhebungsbogen!$F$5:$F$2000,"Perplexity")/COUNTIFS(Erhebungsbogen!$H$5:$H$2000,"Magen/Darm",Erhebungsbogen!$F$5:$F$2000,"Perplexity"),"–")</f>
        <v>–</v>
      </c>
      <c r="G79" s="25" t="str">
        <f aca="false">IFERROR(COUNTIFS(Erhebungsbogen!$O$5:$O$2000,"Ja",Erhebungsbogen!$H$5:$H$2000,"Magen/Darm")/COUNTIFS(Erhebungsbogen!$H$5:$H$2000,"Magen/Darm"),"–")</f>
        <v>–</v>
      </c>
      <c r="H79" s="24"/>
    </row>
    <row r="80" customFormat="false" ht="15" hidden="false" customHeight="false" outlineLevel="0" collapsed="false">
      <c r="A80" s="16" t="s">
        <v>94</v>
      </c>
      <c r="B80" s="25" t="n">
        <f aca="false">IFERROR(COUNTIFS(Erhebungsbogen!$O$5:$O$2000,"Ja",Erhebungsbogen!$H$5:$H$2000,"Vitamine/Mineralstoffe",Erhebungsbogen!$F$5:$F$2000,"ChatGPT")/COUNTIFS(Erhebungsbogen!$H$5:$H$2000,"Vitamine/Mineralstoffe",Erhebungsbogen!$F$5:$F$2000,"ChatGPT"),"–")</f>
        <v>0</v>
      </c>
      <c r="C80" s="25" t="str">
        <f aca="false">IFERROR(COUNTIFS(Erhebungsbogen!$O$5:$O$2000,"Ja",Erhebungsbogen!$H$5:$H$2000,"Vitamine/Mineralstoffe",Erhebungsbogen!$F$5:$F$2000,"Claude")/COUNTIFS(Erhebungsbogen!$H$5:$H$2000,"Vitamine/Mineralstoffe",Erhebungsbogen!$F$5:$F$2000,"Claude"),"–")</f>
        <v>–</v>
      </c>
      <c r="D80" s="25" t="str">
        <f aca="false">IFERROR(COUNTIFS(Erhebungsbogen!$O$5:$O$2000,"Ja",Erhebungsbogen!$H$5:$H$2000,"Vitamine/Mineralstoffe",Erhebungsbogen!$F$5:$F$2000,"Gemini")/COUNTIFS(Erhebungsbogen!$H$5:$H$2000,"Vitamine/Mineralstoffe",Erhebungsbogen!$F$5:$F$2000,"Gemini"),"–")</f>
        <v>–</v>
      </c>
      <c r="E80" s="25" t="str">
        <f aca="false">IFERROR(COUNTIFS(Erhebungsbogen!$O$5:$O$2000,"Ja",Erhebungsbogen!$H$5:$H$2000,"Vitamine/Mineralstoffe",Erhebungsbogen!$F$5:$F$2000,"Google AI Overview")/COUNTIFS(Erhebungsbogen!$H$5:$H$2000,"Vitamine/Mineralstoffe",Erhebungsbogen!$F$5:$F$2000,"Google AI Overview"),"–")</f>
        <v>–</v>
      </c>
      <c r="F80" s="25" t="str">
        <f aca="false">IFERROR(COUNTIFS(Erhebungsbogen!$O$5:$O$2000,"Ja",Erhebungsbogen!$H$5:$H$2000,"Vitamine/Mineralstoffe",Erhebungsbogen!$F$5:$F$2000,"Perplexity")/COUNTIFS(Erhebungsbogen!$H$5:$H$2000,"Vitamine/Mineralstoffe",Erhebungsbogen!$F$5:$F$2000,"Perplexity"),"–")</f>
        <v>–</v>
      </c>
      <c r="G80" s="25" t="n">
        <f aca="false">IFERROR(COUNTIFS(Erhebungsbogen!$O$5:$O$2000,"Ja",Erhebungsbogen!$H$5:$H$2000,"Vitamine/Mineralstoffe")/COUNTIFS(Erhebungsbogen!$H$5:$H$2000,"Vitamine/Mineralstoffe"),"–")</f>
        <v>0</v>
      </c>
      <c r="H80" s="24"/>
    </row>
    <row r="81" customFormat="false" ht="15" hidden="false" customHeight="false" outlineLevel="0" collapsed="false">
      <c r="A81" s="16" t="s">
        <v>97</v>
      </c>
      <c r="B81" s="25" t="str">
        <f aca="false">IFERROR(COUNTIFS(Erhebungsbogen!$O$5:$O$2000,"Ja",Erhebungsbogen!$H$5:$H$2000,"Allergie",Erhebungsbogen!$F$5:$F$2000,"ChatGPT")/COUNTIFS(Erhebungsbogen!$H$5:$H$2000,"Allergie",Erhebungsbogen!$F$5:$F$2000,"ChatGPT"),"–")</f>
        <v>–</v>
      </c>
      <c r="C81" s="25" t="str">
        <f aca="false">IFERROR(COUNTIFS(Erhebungsbogen!$O$5:$O$2000,"Ja",Erhebungsbogen!$H$5:$H$2000,"Allergie",Erhebungsbogen!$F$5:$F$2000,"Claude")/COUNTIFS(Erhebungsbogen!$H$5:$H$2000,"Allergie",Erhebungsbogen!$F$5:$F$2000,"Claude"),"–")</f>
        <v>–</v>
      </c>
      <c r="D81" s="25" t="str">
        <f aca="false">IFERROR(COUNTIFS(Erhebungsbogen!$O$5:$O$2000,"Ja",Erhebungsbogen!$H$5:$H$2000,"Allergie",Erhebungsbogen!$F$5:$F$2000,"Gemini")/COUNTIFS(Erhebungsbogen!$H$5:$H$2000,"Allergie",Erhebungsbogen!$F$5:$F$2000,"Gemini"),"–")</f>
        <v>–</v>
      </c>
      <c r="E81" s="25" t="str">
        <f aca="false">IFERROR(COUNTIFS(Erhebungsbogen!$O$5:$O$2000,"Ja",Erhebungsbogen!$H$5:$H$2000,"Allergie",Erhebungsbogen!$F$5:$F$2000,"Google AI Overview")/COUNTIFS(Erhebungsbogen!$H$5:$H$2000,"Allergie",Erhebungsbogen!$F$5:$F$2000,"Google AI Overview"),"–")</f>
        <v>–</v>
      </c>
      <c r="F81" s="25" t="str">
        <f aca="false">IFERROR(COUNTIFS(Erhebungsbogen!$O$5:$O$2000,"Ja",Erhebungsbogen!$H$5:$H$2000,"Allergie",Erhebungsbogen!$F$5:$F$2000,"Perplexity")/COUNTIFS(Erhebungsbogen!$H$5:$H$2000,"Allergie",Erhebungsbogen!$F$5:$F$2000,"Perplexity"),"–")</f>
        <v>–</v>
      </c>
      <c r="G81" s="25" t="str">
        <f aca="false">IFERROR(COUNTIFS(Erhebungsbogen!$O$5:$O$2000,"Ja",Erhebungsbogen!$H$5:$H$2000,"Allergie")/COUNTIFS(Erhebungsbogen!$H$5:$H$2000,"Allergie"),"–")</f>
        <v>–</v>
      </c>
      <c r="H81" s="24"/>
    </row>
    <row r="82" customFormat="false" ht="15" hidden="false" customHeight="false" outlineLevel="0" collapsed="false">
      <c r="A82" s="16" t="s">
        <v>100</v>
      </c>
      <c r="B82" s="25" t="str">
        <f aca="false">IFERROR(COUNTIFS(Erhebungsbogen!$O$5:$O$2000,"Ja",Erhebungsbogen!$H$5:$H$2000,"Haut/Wunde",Erhebungsbogen!$F$5:$F$2000,"ChatGPT")/COUNTIFS(Erhebungsbogen!$H$5:$H$2000,"Haut/Wunde",Erhebungsbogen!$F$5:$F$2000,"ChatGPT"),"–")</f>
        <v>–</v>
      </c>
      <c r="C82" s="25" t="str">
        <f aca="false">IFERROR(COUNTIFS(Erhebungsbogen!$O$5:$O$2000,"Ja",Erhebungsbogen!$H$5:$H$2000,"Haut/Wunde",Erhebungsbogen!$F$5:$F$2000,"Claude")/COUNTIFS(Erhebungsbogen!$H$5:$H$2000,"Haut/Wunde",Erhebungsbogen!$F$5:$F$2000,"Claude"),"–")</f>
        <v>–</v>
      </c>
      <c r="D82" s="25" t="str">
        <f aca="false">IFERROR(COUNTIFS(Erhebungsbogen!$O$5:$O$2000,"Ja",Erhebungsbogen!$H$5:$H$2000,"Haut/Wunde",Erhebungsbogen!$F$5:$F$2000,"Gemini")/COUNTIFS(Erhebungsbogen!$H$5:$H$2000,"Haut/Wunde",Erhebungsbogen!$F$5:$F$2000,"Gemini"),"–")</f>
        <v>–</v>
      </c>
      <c r="E82" s="25" t="str">
        <f aca="false">IFERROR(COUNTIFS(Erhebungsbogen!$O$5:$O$2000,"Ja",Erhebungsbogen!$H$5:$H$2000,"Haut/Wunde",Erhebungsbogen!$F$5:$F$2000,"Google AI Overview")/COUNTIFS(Erhebungsbogen!$H$5:$H$2000,"Haut/Wunde",Erhebungsbogen!$F$5:$F$2000,"Google AI Overview"),"–")</f>
        <v>–</v>
      </c>
      <c r="F82" s="25" t="str">
        <f aca="false">IFERROR(COUNTIFS(Erhebungsbogen!$O$5:$O$2000,"Ja",Erhebungsbogen!$H$5:$H$2000,"Haut/Wunde",Erhebungsbogen!$F$5:$F$2000,"Perplexity")/COUNTIFS(Erhebungsbogen!$H$5:$H$2000,"Haut/Wunde",Erhebungsbogen!$F$5:$F$2000,"Perplexity"),"–")</f>
        <v>–</v>
      </c>
      <c r="G82" s="25" t="str">
        <f aca="false">IFERROR(COUNTIFS(Erhebungsbogen!$O$5:$O$2000,"Ja",Erhebungsbogen!$H$5:$H$2000,"Haut/Wunde")/COUNTIFS(Erhebungsbogen!$H$5:$H$2000,"Haut/Wunde"),"–")</f>
        <v>–</v>
      </c>
      <c r="H82" s="24"/>
    </row>
    <row r="83" customFormat="false" ht="15" hidden="false" customHeight="false" outlineLevel="0" collapsed="false">
      <c r="A83" s="16" t="s">
        <v>103</v>
      </c>
      <c r="B83" s="25" t="str">
        <f aca="false">IFERROR(COUNTIFS(Erhebungsbogen!$O$5:$O$2000,"Ja",Erhebungsbogen!$H$5:$H$2000,"Schlaf/Nerven",Erhebungsbogen!$F$5:$F$2000,"ChatGPT")/COUNTIFS(Erhebungsbogen!$H$5:$H$2000,"Schlaf/Nerven",Erhebungsbogen!$F$5:$F$2000,"ChatGPT"),"–")</f>
        <v>–</v>
      </c>
      <c r="C83" s="25" t="str">
        <f aca="false">IFERROR(COUNTIFS(Erhebungsbogen!$O$5:$O$2000,"Ja",Erhebungsbogen!$H$5:$H$2000,"Schlaf/Nerven",Erhebungsbogen!$F$5:$F$2000,"Claude")/COUNTIFS(Erhebungsbogen!$H$5:$H$2000,"Schlaf/Nerven",Erhebungsbogen!$F$5:$F$2000,"Claude"),"–")</f>
        <v>–</v>
      </c>
      <c r="D83" s="25" t="str">
        <f aca="false">IFERROR(COUNTIFS(Erhebungsbogen!$O$5:$O$2000,"Ja",Erhebungsbogen!$H$5:$H$2000,"Schlaf/Nerven",Erhebungsbogen!$F$5:$F$2000,"Gemini")/COUNTIFS(Erhebungsbogen!$H$5:$H$2000,"Schlaf/Nerven",Erhebungsbogen!$F$5:$F$2000,"Gemini"),"–")</f>
        <v>–</v>
      </c>
      <c r="E83" s="25" t="str">
        <f aca="false">IFERROR(COUNTIFS(Erhebungsbogen!$O$5:$O$2000,"Ja",Erhebungsbogen!$H$5:$H$2000,"Schlaf/Nerven",Erhebungsbogen!$F$5:$F$2000,"Google AI Overview")/COUNTIFS(Erhebungsbogen!$H$5:$H$2000,"Schlaf/Nerven",Erhebungsbogen!$F$5:$F$2000,"Google AI Overview"),"–")</f>
        <v>–</v>
      </c>
      <c r="F83" s="25" t="str">
        <f aca="false">IFERROR(COUNTIFS(Erhebungsbogen!$O$5:$O$2000,"Ja",Erhebungsbogen!$H$5:$H$2000,"Schlaf/Nerven",Erhebungsbogen!$F$5:$F$2000,"Perplexity")/COUNTIFS(Erhebungsbogen!$H$5:$H$2000,"Schlaf/Nerven",Erhebungsbogen!$F$5:$F$2000,"Perplexity"),"–")</f>
        <v>–</v>
      </c>
      <c r="G83" s="25" t="str">
        <f aca="false">IFERROR(COUNTIFS(Erhebungsbogen!$O$5:$O$2000,"Ja",Erhebungsbogen!$H$5:$H$2000,"Schlaf/Nerven")/COUNTIFS(Erhebungsbogen!$H$5:$H$2000,"Schlaf/Nerven"),"–")</f>
        <v>–</v>
      </c>
      <c r="H83" s="24"/>
    </row>
    <row r="84" customFormat="false" ht="15" hidden="false" customHeight="false" outlineLevel="0" collapsed="false">
      <c r="A84" s="16" t="s">
        <v>106</v>
      </c>
      <c r="B84" s="25" t="str">
        <f aca="false">IFERROR(COUNTIFS(Erhebungsbogen!$O$5:$O$2000,"Ja",Erhebungsbogen!$H$5:$H$2000,"Augen",Erhebungsbogen!$F$5:$F$2000,"ChatGPT")/COUNTIFS(Erhebungsbogen!$H$5:$H$2000,"Augen",Erhebungsbogen!$F$5:$F$2000,"ChatGPT"),"–")</f>
        <v>–</v>
      </c>
      <c r="C84" s="25" t="str">
        <f aca="false">IFERROR(COUNTIFS(Erhebungsbogen!$O$5:$O$2000,"Ja",Erhebungsbogen!$H$5:$H$2000,"Augen",Erhebungsbogen!$F$5:$F$2000,"Claude")/COUNTIFS(Erhebungsbogen!$H$5:$H$2000,"Augen",Erhebungsbogen!$F$5:$F$2000,"Claude"),"–")</f>
        <v>–</v>
      </c>
      <c r="D84" s="25" t="str">
        <f aca="false">IFERROR(COUNTIFS(Erhebungsbogen!$O$5:$O$2000,"Ja",Erhebungsbogen!$H$5:$H$2000,"Augen",Erhebungsbogen!$F$5:$F$2000,"Gemini")/COUNTIFS(Erhebungsbogen!$H$5:$H$2000,"Augen",Erhebungsbogen!$F$5:$F$2000,"Gemini"),"–")</f>
        <v>–</v>
      </c>
      <c r="E84" s="25" t="str">
        <f aca="false">IFERROR(COUNTIFS(Erhebungsbogen!$O$5:$O$2000,"Ja",Erhebungsbogen!$H$5:$H$2000,"Augen",Erhebungsbogen!$F$5:$F$2000,"Google AI Overview")/COUNTIFS(Erhebungsbogen!$H$5:$H$2000,"Augen",Erhebungsbogen!$F$5:$F$2000,"Google AI Overview"),"–")</f>
        <v>–</v>
      </c>
      <c r="F84" s="25" t="str">
        <f aca="false">IFERROR(COUNTIFS(Erhebungsbogen!$O$5:$O$2000,"Ja",Erhebungsbogen!$H$5:$H$2000,"Augen",Erhebungsbogen!$F$5:$F$2000,"Perplexity")/COUNTIFS(Erhebungsbogen!$H$5:$H$2000,"Augen",Erhebungsbogen!$F$5:$F$2000,"Perplexity"),"–")</f>
        <v>–</v>
      </c>
      <c r="G84" s="25" t="str">
        <f aca="false">IFERROR(COUNTIFS(Erhebungsbogen!$O$5:$O$2000,"Ja",Erhebungsbogen!$H$5:$H$2000,"Augen")/COUNTIFS(Erhebungsbogen!$H$5:$H$2000,"Augen"),"–")</f>
        <v>–</v>
      </c>
      <c r="H84" s="24"/>
    </row>
    <row r="85" customFormat="false" ht="15" hidden="false" customHeight="false" outlineLevel="0" collapsed="false">
      <c r="A85" s="16" t="s">
        <v>108</v>
      </c>
      <c r="B85" s="27" t="n">
        <f aca="false">IFERROR(COUNTIFS(Erhebungsbogen!$O$5:$O$2000,"Ja",Erhebungsbogen!$F$5:$F$2000,"ChatGPT")/COUNTIFS(Erhebungsbogen!$F$5:$F$2000,"ChatGPT"),"–")</f>
        <v>0</v>
      </c>
      <c r="C85" s="27" t="str">
        <f aca="false">IFERROR(COUNTIFS(Erhebungsbogen!$O$5:$O$2000,"Ja",Erhebungsbogen!$F$5:$F$2000,"Claude")/COUNTIFS(Erhebungsbogen!$F$5:$F$2000,"Claude"),"–")</f>
        <v>–</v>
      </c>
      <c r="D85" s="27" t="str">
        <f aca="false">IFERROR(COUNTIFS(Erhebungsbogen!$O$5:$O$2000,"Ja",Erhebungsbogen!$F$5:$F$2000,"Gemini")/COUNTIFS(Erhebungsbogen!$F$5:$F$2000,"Gemini"),"–")</f>
        <v>–</v>
      </c>
      <c r="E85" s="27" t="str">
        <f aca="false">IFERROR(COUNTIFS(Erhebungsbogen!$O$5:$O$2000,"Ja",Erhebungsbogen!$F$5:$F$2000,"Google AI Overview")/COUNTIFS(Erhebungsbogen!$F$5:$F$2000,"Google AI Overview"),"–")</f>
        <v>–</v>
      </c>
      <c r="F85" s="27" t="str">
        <f aca="false">IFERROR(COUNTIFS(Erhebungsbogen!$O$5:$O$2000,"Ja",Erhebungsbogen!$F$5:$F$2000,"Perplexity")/COUNTIFS(Erhebungsbogen!$F$5:$F$2000,"Perplexity"),"–")</f>
        <v>–</v>
      </c>
      <c r="G85" s="27" t="n">
        <f aca="false">IFERROR(COUNTIFS(Erhebungsbogen!$O$5:$O$2000,"Ja")/COUNTA(Erhebungsbogen!$A$5:$A$2000),"–")</f>
        <v>0</v>
      </c>
      <c r="H85" s="24"/>
    </row>
    <row r="87" customFormat="false" ht="15" hidden="false" customHeight="false" outlineLevel="0" collapsed="false">
      <c r="A87" s="8" t="s">
        <v>568</v>
      </c>
      <c r="B87" s="8"/>
      <c r="C87" s="8"/>
      <c r="D87" s="8"/>
      <c r="E87" s="8"/>
      <c r="F87" s="8"/>
      <c r="G87" s="8"/>
      <c r="H87" s="8"/>
    </row>
    <row r="88" customFormat="false" ht="22.35" hidden="false" customHeight="true" outlineLevel="0" collapsed="false">
      <c r="A88" s="2" t="s">
        <v>569</v>
      </c>
      <c r="B88" s="2"/>
      <c r="C88" s="2"/>
      <c r="D88" s="2"/>
      <c r="E88" s="2"/>
      <c r="F88" s="2"/>
      <c r="G88" s="2"/>
      <c r="H88" s="2"/>
    </row>
    <row r="89" customFormat="false" ht="30" hidden="false" customHeight="true" outlineLevel="0" collapsed="false">
      <c r="A89" s="12" t="s">
        <v>570</v>
      </c>
      <c r="B89" s="12" t="s">
        <v>64</v>
      </c>
      <c r="C89" s="12" t="s">
        <v>571</v>
      </c>
      <c r="D89" s="12" t="s">
        <v>572</v>
      </c>
      <c r="E89" s="12" t="s">
        <v>143</v>
      </c>
      <c r="F89" s="12" t="s">
        <v>573</v>
      </c>
      <c r="G89" s="24"/>
      <c r="H89" s="24"/>
    </row>
    <row r="90" customFormat="false" ht="15" hidden="false" customHeight="false" outlineLevel="0" collapsed="false">
      <c r="A90" s="16" t="str">
        <f aca="false">Konfiguration!$B$5</f>
        <v>[Markenname]</v>
      </c>
      <c r="B90" s="15" t="s">
        <v>574</v>
      </c>
      <c r="C90" s="15" t="str">
        <f aca="false">Konfiguration!$B$5</f>
        <v>[Markenname]</v>
      </c>
      <c r="D90" s="15" t="n">
        <f aca="false">COUNTIF(Erhebungsbogen!$S$5:$S$2000,"*"&amp;C90&amp;"*")</f>
        <v>1</v>
      </c>
      <c r="E90" s="25" t="n">
        <f aca="false">IFERROR(D90/$D$103,"–")</f>
        <v>0.5</v>
      </c>
      <c r="F90" s="15" t="n">
        <f aca="false">COUNTIF(Erhebungsbogen!$T$5:$T$2000,"*"&amp;C90&amp;"*")</f>
        <v>0</v>
      </c>
      <c r="G90" s="24"/>
      <c r="H90" s="24"/>
    </row>
    <row r="91" customFormat="false" ht="15" hidden="false" customHeight="false" outlineLevel="0" collapsed="false">
      <c r="A91" s="15" t="str">
        <f aca="false">IF(Konfiguration!$A17="","",Konfiguration!$A17)</f>
        <v>Versandapotheke A</v>
      </c>
      <c r="B91" s="15" t="str">
        <f aca="false">IF(Konfiguration!$B17="","",Konfiguration!$B17)</f>
        <v>Versandapotheke</v>
      </c>
      <c r="C91" s="15" t="str">
        <f aca="false">IF(Konfiguration!$C17="","",Konfiguration!$C17)</f>
        <v>Versandapotheke A</v>
      </c>
      <c r="D91" s="15" t="n">
        <f aca="false">IF($C91="","",COUNTIF(Erhebungsbogen!$S$5:$S$2000,"*"&amp;$C91&amp;"*"))</f>
        <v>1</v>
      </c>
      <c r="E91" s="25" t="n">
        <f aca="false">IF($C91="","",IFERROR(D91/$D$103,"–"))</f>
        <v>0.5</v>
      </c>
      <c r="F91" s="15" t="n">
        <f aca="false">IF($C91="","",COUNTIF(Erhebungsbogen!$T$5:$T$2000,"*"&amp;$C91&amp;"*"))</f>
        <v>0</v>
      </c>
      <c r="G91" s="24"/>
      <c r="H91" s="24"/>
    </row>
    <row r="92" customFormat="false" ht="15" hidden="false" customHeight="false" outlineLevel="0" collapsed="false">
      <c r="A92" s="15" t="str">
        <f aca="false">IF(Konfiguration!$A18="","",Konfiguration!$A18)</f>
        <v/>
      </c>
      <c r="B92" s="15" t="str">
        <f aca="false">IF(Konfiguration!$B18="","",Konfiguration!$B18)</f>
        <v/>
      </c>
      <c r="C92" s="15" t="str">
        <f aca="false">IF(Konfiguration!$C18="","",Konfiguration!$C18)</f>
        <v/>
      </c>
      <c r="D92" s="15" t="str">
        <f aca="false">IF($C92="","",COUNTIF(Erhebungsbogen!$S$5:$S$2000,"*"&amp;$C92&amp;"*"))</f>
        <v/>
      </c>
      <c r="E92" s="25" t="str">
        <f aca="false">IF($C92="","",IFERROR(D92/$D$103,"–"))</f>
        <v/>
      </c>
      <c r="F92" s="15" t="str">
        <f aca="false">IF($C92="","",COUNTIF(Erhebungsbogen!$T$5:$T$2000,"*"&amp;$C92&amp;"*"))</f>
        <v/>
      </c>
      <c r="G92" s="24"/>
      <c r="H92" s="24"/>
    </row>
    <row r="93" customFormat="false" ht="15" hidden="false" customHeight="false" outlineLevel="0" collapsed="false">
      <c r="A93" s="15" t="str">
        <f aca="false">IF(Konfiguration!$A19="","",Konfiguration!$A19)</f>
        <v/>
      </c>
      <c r="B93" s="15" t="str">
        <f aca="false">IF(Konfiguration!$B19="","",Konfiguration!$B19)</f>
        <v/>
      </c>
      <c r="C93" s="15" t="str">
        <f aca="false">IF(Konfiguration!$C19="","",Konfiguration!$C19)</f>
        <v/>
      </c>
      <c r="D93" s="15" t="str">
        <f aca="false">IF($C93="","",COUNTIF(Erhebungsbogen!$S$5:$S$2000,"*"&amp;$C93&amp;"*"))</f>
        <v/>
      </c>
      <c r="E93" s="25" t="str">
        <f aca="false">IF($C93="","",IFERROR(D93/$D$103,"–"))</f>
        <v/>
      </c>
      <c r="F93" s="15" t="str">
        <f aca="false">IF($C93="","",COUNTIF(Erhebungsbogen!$T$5:$T$2000,"*"&amp;$C93&amp;"*"))</f>
        <v/>
      </c>
      <c r="G93" s="24"/>
      <c r="H93" s="24"/>
    </row>
    <row r="94" customFormat="false" ht="15" hidden="false" customHeight="false" outlineLevel="0" collapsed="false">
      <c r="A94" s="15" t="str">
        <f aca="false">IF(Konfiguration!$A20="","",Konfiguration!$A20)</f>
        <v/>
      </c>
      <c r="B94" s="15" t="str">
        <f aca="false">IF(Konfiguration!$B20="","",Konfiguration!$B20)</f>
        <v/>
      </c>
      <c r="C94" s="15" t="str">
        <f aca="false">IF(Konfiguration!$C20="","",Konfiguration!$C20)</f>
        <v/>
      </c>
      <c r="D94" s="15" t="str">
        <f aca="false">IF($C94="","",COUNTIF(Erhebungsbogen!$S$5:$S$2000,"*"&amp;$C94&amp;"*"))</f>
        <v/>
      </c>
      <c r="E94" s="25" t="str">
        <f aca="false">IF($C94="","",IFERROR(D94/$D$103,"–"))</f>
        <v/>
      </c>
      <c r="F94" s="15" t="str">
        <f aca="false">IF($C94="","",COUNTIF(Erhebungsbogen!$T$5:$T$2000,"*"&amp;$C94&amp;"*"))</f>
        <v/>
      </c>
      <c r="G94" s="24"/>
      <c r="H94" s="24"/>
    </row>
    <row r="95" customFormat="false" ht="15" hidden="false" customHeight="false" outlineLevel="0" collapsed="false">
      <c r="A95" s="15" t="str">
        <f aca="false">IF(Konfiguration!$A21="","",Konfiguration!$A21)</f>
        <v/>
      </c>
      <c r="B95" s="15" t="str">
        <f aca="false">IF(Konfiguration!$B21="","",Konfiguration!$B21)</f>
        <v/>
      </c>
      <c r="C95" s="15" t="str">
        <f aca="false">IF(Konfiguration!$C21="","",Konfiguration!$C21)</f>
        <v/>
      </c>
      <c r="D95" s="15" t="str">
        <f aca="false">IF($C95="","",COUNTIF(Erhebungsbogen!$S$5:$S$2000,"*"&amp;$C95&amp;"*"))</f>
        <v/>
      </c>
      <c r="E95" s="25" t="str">
        <f aca="false">IF($C95="","",IFERROR(D95/$D$103,"–"))</f>
        <v/>
      </c>
      <c r="F95" s="15" t="str">
        <f aca="false">IF($C95="","",COUNTIF(Erhebungsbogen!$T$5:$T$2000,"*"&amp;$C95&amp;"*"))</f>
        <v/>
      </c>
      <c r="G95" s="24"/>
      <c r="H95" s="24"/>
    </row>
    <row r="96" customFormat="false" ht="15" hidden="false" customHeight="false" outlineLevel="0" collapsed="false">
      <c r="A96" s="15" t="str">
        <f aca="false">IF(Konfiguration!$A22="","",Konfiguration!$A22)</f>
        <v/>
      </c>
      <c r="B96" s="15" t="str">
        <f aca="false">IF(Konfiguration!$B22="","",Konfiguration!$B22)</f>
        <v/>
      </c>
      <c r="C96" s="15" t="str">
        <f aca="false">IF(Konfiguration!$C22="","",Konfiguration!$C22)</f>
        <v/>
      </c>
      <c r="D96" s="15" t="str">
        <f aca="false">IF($C96="","",COUNTIF(Erhebungsbogen!$S$5:$S$2000,"*"&amp;$C96&amp;"*"))</f>
        <v/>
      </c>
      <c r="E96" s="25" t="str">
        <f aca="false">IF($C96="","",IFERROR(D96/$D$103,"–"))</f>
        <v/>
      </c>
      <c r="F96" s="15" t="str">
        <f aca="false">IF($C96="","",COUNTIF(Erhebungsbogen!$T$5:$T$2000,"*"&amp;$C96&amp;"*"))</f>
        <v/>
      </c>
      <c r="G96" s="24"/>
      <c r="H96" s="24"/>
    </row>
    <row r="97" customFormat="false" ht="15" hidden="false" customHeight="false" outlineLevel="0" collapsed="false">
      <c r="A97" s="15" t="str">
        <f aca="false">IF(Konfiguration!$A23="","",Konfiguration!$A23)</f>
        <v/>
      </c>
      <c r="B97" s="15" t="str">
        <f aca="false">IF(Konfiguration!$B23="","",Konfiguration!$B23)</f>
        <v/>
      </c>
      <c r="C97" s="15" t="str">
        <f aca="false">IF(Konfiguration!$C23="","",Konfiguration!$C23)</f>
        <v/>
      </c>
      <c r="D97" s="15" t="str">
        <f aca="false">IF($C97="","",COUNTIF(Erhebungsbogen!$S$5:$S$2000,"*"&amp;$C97&amp;"*"))</f>
        <v/>
      </c>
      <c r="E97" s="25" t="str">
        <f aca="false">IF($C97="","",IFERROR(D97/$D$103,"–"))</f>
        <v/>
      </c>
      <c r="F97" s="15" t="str">
        <f aca="false">IF($C97="","",COUNTIF(Erhebungsbogen!$T$5:$T$2000,"*"&amp;$C97&amp;"*"))</f>
        <v/>
      </c>
      <c r="G97" s="24"/>
      <c r="H97" s="24"/>
    </row>
    <row r="98" customFormat="false" ht="15" hidden="false" customHeight="false" outlineLevel="0" collapsed="false">
      <c r="A98" s="15" t="str">
        <f aca="false">IF(Konfiguration!$A24="","",Konfiguration!$A24)</f>
        <v/>
      </c>
      <c r="B98" s="15" t="str">
        <f aca="false">IF(Konfiguration!$B24="","",Konfiguration!$B24)</f>
        <v/>
      </c>
      <c r="C98" s="15" t="str">
        <f aca="false">IF(Konfiguration!$C24="","",Konfiguration!$C24)</f>
        <v/>
      </c>
      <c r="D98" s="15" t="str">
        <f aca="false">IF($C98="","",COUNTIF(Erhebungsbogen!$S$5:$S$2000,"*"&amp;$C98&amp;"*"))</f>
        <v/>
      </c>
      <c r="E98" s="25" t="str">
        <f aca="false">IF($C98="","",IFERROR(D98/$D$103,"–"))</f>
        <v/>
      </c>
      <c r="F98" s="15" t="str">
        <f aca="false">IF($C98="","",COUNTIF(Erhebungsbogen!$T$5:$T$2000,"*"&amp;$C98&amp;"*"))</f>
        <v/>
      </c>
      <c r="G98" s="24"/>
      <c r="H98" s="24"/>
    </row>
    <row r="99" customFormat="false" ht="15" hidden="false" customHeight="false" outlineLevel="0" collapsed="false">
      <c r="A99" s="15" t="str">
        <f aca="false">IF(Konfiguration!$A25="","",Konfiguration!$A25)</f>
        <v/>
      </c>
      <c r="B99" s="15" t="str">
        <f aca="false">IF(Konfiguration!$B25="","",Konfiguration!$B25)</f>
        <v/>
      </c>
      <c r="C99" s="15" t="str">
        <f aca="false">IF(Konfiguration!$C25="","",Konfiguration!$C25)</f>
        <v/>
      </c>
      <c r="D99" s="15" t="str">
        <f aca="false">IF($C99="","",COUNTIF(Erhebungsbogen!$S$5:$S$2000,"*"&amp;$C99&amp;"*"))</f>
        <v/>
      </c>
      <c r="E99" s="25" t="str">
        <f aca="false">IF($C99="","",IFERROR(D99/$D$103,"–"))</f>
        <v/>
      </c>
      <c r="F99" s="15" t="str">
        <f aca="false">IF($C99="","",COUNTIF(Erhebungsbogen!$T$5:$T$2000,"*"&amp;$C99&amp;"*"))</f>
        <v/>
      </c>
      <c r="G99" s="24"/>
      <c r="H99" s="24"/>
    </row>
    <row r="100" customFormat="false" ht="15" hidden="false" customHeight="false" outlineLevel="0" collapsed="false">
      <c r="A100" s="15" t="str">
        <f aca="false">IF(Konfiguration!$A26="","",Konfiguration!$A26)</f>
        <v/>
      </c>
      <c r="B100" s="15" t="str">
        <f aca="false">IF(Konfiguration!$B26="","",Konfiguration!$B26)</f>
        <v/>
      </c>
      <c r="C100" s="15" t="str">
        <f aca="false">IF(Konfiguration!$C26="","",Konfiguration!$C26)</f>
        <v/>
      </c>
      <c r="D100" s="15" t="str">
        <f aca="false">IF($C100="","",COUNTIF(Erhebungsbogen!$S$5:$S$2000,"*"&amp;$C100&amp;"*"))</f>
        <v/>
      </c>
      <c r="E100" s="25" t="str">
        <f aca="false">IF($C100="","",IFERROR(D100/$D$103,"–"))</f>
        <v/>
      </c>
      <c r="F100" s="15" t="str">
        <f aca="false">IF($C100="","",COUNTIF(Erhebungsbogen!$T$5:$T$2000,"*"&amp;$C100&amp;"*"))</f>
        <v/>
      </c>
      <c r="G100" s="24"/>
      <c r="H100" s="24"/>
    </row>
    <row r="101" customFormat="false" ht="15" hidden="false" customHeight="false" outlineLevel="0" collapsed="false">
      <c r="A101" s="15" t="str">
        <f aca="false">IF(Konfiguration!$A27="","",Konfiguration!$A27)</f>
        <v/>
      </c>
      <c r="B101" s="15" t="str">
        <f aca="false">IF(Konfiguration!$B27="","",Konfiguration!$B27)</f>
        <v/>
      </c>
      <c r="C101" s="15" t="str">
        <f aca="false">IF(Konfiguration!$C27="","",Konfiguration!$C27)</f>
        <v/>
      </c>
      <c r="D101" s="15" t="str">
        <f aca="false">IF($C101="","",COUNTIF(Erhebungsbogen!$S$5:$S$2000,"*"&amp;$C101&amp;"*"))</f>
        <v/>
      </c>
      <c r="E101" s="25" t="str">
        <f aca="false">IF($C101="","",IFERROR(D101/$D$103,"–"))</f>
        <v/>
      </c>
      <c r="F101" s="15" t="str">
        <f aca="false">IF($C101="","",COUNTIF(Erhebungsbogen!$T$5:$T$2000,"*"&amp;$C101&amp;"*"))</f>
        <v/>
      </c>
      <c r="G101" s="24"/>
      <c r="H101" s="24"/>
    </row>
    <row r="102" customFormat="false" ht="15" hidden="false" customHeight="false" outlineLevel="0" collapsed="false">
      <c r="A102" s="15" t="str">
        <f aca="false">IF(Konfiguration!$A28="","",Konfiguration!$A28)</f>
        <v/>
      </c>
      <c r="B102" s="15" t="str">
        <f aca="false">IF(Konfiguration!$B28="","",Konfiguration!$B28)</f>
        <v/>
      </c>
      <c r="C102" s="15" t="str">
        <f aca="false">IF(Konfiguration!$C28="","",Konfiguration!$C28)</f>
        <v/>
      </c>
      <c r="D102" s="15" t="str">
        <f aca="false">IF($C102="","",COUNTIF(Erhebungsbogen!$S$5:$S$2000,"*"&amp;$C102&amp;"*"))</f>
        <v/>
      </c>
      <c r="E102" s="25" t="str">
        <f aca="false">IF($C102="","",IFERROR(D102/$D$103,"–"))</f>
        <v/>
      </c>
      <c r="F102" s="15" t="str">
        <f aca="false">IF($C102="","",COUNTIF(Erhebungsbogen!$T$5:$T$2000,"*"&amp;$C102&amp;"*"))</f>
        <v/>
      </c>
      <c r="G102" s="24"/>
      <c r="H102" s="24"/>
    </row>
    <row r="103" customFormat="false" ht="15" hidden="false" customHeight="false" outlineLevel="0" collapsed="false">
      <c r="A103" s="16" t="s">
        <v>575</v>
      </c>
      <c r="B103" s="24"/>
      <c r="C103" s="24"/>
      <c r="D103" s="16" t="n">
        <f aca="false">SUM(D90:D102)</f>
        <v>2</v>
      </c>
      <c r="E103" s="24"/>
      <c r="F103" s="24"/>
      <c r="G103" s="24"/>
      <c r="H103" s="24"/>
    </row>
  </sheetData>
  <mergeCells count="10">
    <mergeCell ref="A1:H1"/>
    <mergeCell ref="A2:H2"/>
    <mergeCell ref="A4:H4"/>
    <mergeCell ref="A18:H18"/>
    <mergeCell ref="A32:H32"/>
    <mergeCell ref="A45:H45"/>
    <mergeCell ref="A59:H59"/>
    <mergeCell ref="A73:H73"/>
    <mergeCell ref="A87:H87"/>
    <mergeCell ref="A88:H88"/>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2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2" min="2" style="0" width="16"/>
    <col collapsed="false" customWidth="true" hidden="false" outlineLevel="0" max="3" min="3" style="0" width="18"/>
    <col collapsed="false" customWidth="true" hidden="false" outlineLevel="0" max="4" min="4" style="0" width="26"/>
    <col collapsed="false" customWidth="true" hidden="false" outlineLevel="0" max="6" min="5" style="0" width="24"/>
    <col collapsed="false" customWidth="true" hidden="false" outlineLevel="0" max="7" min="7" style="0" width="26"/>
    <col collapsed="false" customWidth="true" hidden="false" outlineLevel="0" max="8" min="8" style="0" width="30"/>
  </cols>
  <sheetData>
    <row r="1" customFormat="false" ht="24" hidden="false" customHeight="true" outlineLevel="0" collapsed="false">
      <c r="A1" s="1" t="s">
        <v>576</v>
      </c>
      <c r="B1" s="1"/>
      <c r="C1" s="1"/>
      <c r="D1" s="1"/>
      <c r="E1" s="1"/>
      <c r="F1" s="1"/>
      <c r="G1" s="1"/>
      <c r="H1" s="1"/>
    </row>
    <row r="2" customFormat="false" ht="25.5" hidden="false" customHeight="true" outlineLevel="0" collapsed="false">
      <c r="A2" s="2" t="s">
        <v>577</v>
      </c>
      <c r="B2" s="2"/>
      <c r="C2" s="2"/>
      <c r="D2" s="2"/>
      <c r="E2" s="2"/>
      <c r="F2" s="2"/>
      <c r="G2" s="2"/>
      <c r="H2" s="2"/>
    </row>
    <row r="4" customFormat="false" ht="30" hidden="false" customHeight="true" outlineLevel="0" collapsed="false">
      <c r="A4" s="12" t="s">
        <v>75</v>
      </c>
      <c r="B4" s="12" t="s">
        <v>578</v>
      </c>
      <c r="C4" s="12" t="s">
        <v>579</v>
      </c>
      <c r="D4" s="12" t="s">
        <v>580</v>
      </c>
      <c r="E4" s="12" t="s">
        <v>581</v>
      </c>
      <c r="F4" s="12" t="s">
        <v>582</v>
      </c>
      <c r="G4" s="12" t="s">
        <v>583</v>
      </c>
      <c r="H4" s="12" t="s">
        <v>584</v>
      </c>
    </row>
    <row r="5" customFormat="false" ht="25.5" hidden="false" customHeight="true" outlineLevel="0" collapsed="false">
      <c r="A5" s="16" t="s">
        <v>79</v>
      </c>
      <c r="B5" s="15" t="str">
        <f aca="false">IF('KPI-Auswertung'!C20="–","n/a",IF('KPI-Auswertung'!C20&gt;0,"Ja ("&amp;TEXT('KPI-Auswertung'!C20,"0%")&amp;")","Nein"))</f>
        <v>n/a</v>
      </c>
      <c r="C5" s="15" t="str">
        <f aca="false">IF('KPI-Auswertung'!D20="–","n/a",IF('KPI-Auswertung'!D20&gt;0,"Ja ("&amp;TEXT('KPI-Auswertung'!D20,"0%")&amp;")","Nein"))</f>
        <v>n/a</v>
      </c>
      <c r="D5" s="29"/>
      <c r="E5" s="29"/>
      <c r="F5" s="29"/>
      <c r="G5" s="29"/>
      <c r="H5" s="29"/>
    </row>
    <row r="6" customFormat="false" ht="25.5" hidden="false" customHeight="true" outlineLevel="0" collapsed="false">
      <c r="A6" s="16" t="s">
        <v>82</v>
      </c>
      <c r="B6" s="15" t="str">
        <f aca="false">IF('KPI-Auswertung'!C21="–","n/a",IF('KPI-Auswertung'!C21&gt;0,"Ja ("&amp;TEXT('KPI-Auswertung'!C21,"0%")&amp;")","Nein"))</f>
        <v>n/a</v>
      </c>
      <c r="C6" s="15" t="str">
        <f aca="false">IF('KPI-Auswertung'!D21="–","n/a",IF('KPI-Auswertung'!D21&gt;0,"Ja ("&amp;TEXT('KPI-Auswertung'!D21,"0%")&amp;")","Nein"))</f>
        <v>n/a</v>
      </c>
      <c r="D6" s="29"/>
      <c r="E6" s="29"/>
      <c r="F6" s="29"/>
      <c r="G6" s="29"/>
      <c r="H6" s="29"/>
    </row>
    <row r="7" customFormat="false" ht="25.5" hidden="false" customHeight="true" outlineLevel="0" collapsed="false">
      <c r="A7" s="16" t="s">
        <v>85</v>
      </c>
      <c r="B7" s="15" t="str">
        <f aca="false">IF('KPI-Auswertung'!C22="–","n/a",IF('KPI-Auswertung'!C22&gt;0,"Ja ("&amp;TEXT('KPI-Auswertung'!C22,"0%")&amp;")","Nein"))</f>
        <v>n/a</v>
      </c>
      <c r="C7" s="15" t="str">
        <f aca="false">IF('KPI-Auswertung'!D22="–","n/a",IF('KPI-Auswertung'!D22&gt;0,"Ja ("&amp;TEXT('KPI-Auswertung'!D22,"0%")&amp;")","Nein"))</f>
        <v>n/a</v>
      </c>
      <c r="D7" s="29"/>
      <c r="E7" s="29"/>
      <c r="F7" s="29"/>
      <c r="G7" s="29"/>
      <c r="H7" s="29"/>
    </row>
    <row r="8" customFormat="false" ht="25.5" hidden="false" customHeight="true" outlineLevel="0" collapsed="false">
      <c r="A8" s="16" t="s">
        <v>88</v>
      </c>
      <c r="B8" s="15" t="str">
        <f aca="false">IF('KPI-Auswertung'!C23="–","n/a",IF('KPI-Auswertung'!C23&gt;0,"Ja ("&amp;TEXT('KPI-Auswertung'!C23,"0%")&amp;")","Nein"))</f>
        <v>n/a</v>
      </c>
      <c r="C8" s="15" t="str">
        <f aca="false">IF('KPI-Auswertung'!D23="–","n/a",IF('KPI-Auswertung'!D23&gt;0,"Ja ("&amp;TEXT('KPI-Auswertung'!D23,"0%")&amp;")","Nein"))</f>
        <v>n/a</v>
      </c>
      <c r="D8" s="29"/>
      <c r="E8" s="29"/>
      <c r="F8" s="29"/>
      <c r="G8" s="29"/>
      <c r="H8" s="29"/>
    </row>
    <row r="9" customFormat="false" ht="25.5" hidden="false" customHeight="true" outlineLevel="0" collapsed="false">
      <c r="A9" s="16" t="s">
        <v>91</v>
      </c>
      <c r="B9" s="15" t="str">
        <f aca="false">IF('KPI-Auswertung'!C24="–","n/a",IF('KPI-Auswertung'!C24&gt;0,"Ja ("&amp;TEXT('KPI-Auswertung'!C24,"0%")&amp;")","Nein"))</f>
        <v>n/a</v>
      </c>
      <c r="C9" s="15" t="str">
        <f aca="false">IF('KPI-Auswertung'!D24="–","n/a",IF('KPI-Auswertung'!D24&gt;0,"Ja ("&amp;TEXT('KPI-Auswertung'!D24,"0%")&amp;")","Nein"))</f>
        <v>n/a</v>
      </c>
      <c r="D9" s="29"/>
      <c r="E9" s="29"/>
      <c r="F9" s="29"/>
      <c r="G9" s="29"/>
      <c r="H9" s="29"/>
    </row>
    <row r="10" customFormat="false" ht="25.5" hidden="false" customHeight="true" outlineLevel="0" collapsed="false">
      <c r="A10" s="16" t="s">
        <v>94</v>
      </c>
      <c r="B10" s="15" t="str">
        <f aca="false">IF('KPI-Auswertung'!C25="–","n/a",IF('KPI-Auswertung'!C25&gt;0,"Ja ("&amp;TEXT('KPI-Auswertung'!C25,"0%")&amp;")","Nein"))</f>
        <v>Ja (100%)</v>
      </c>
      <c r="C10" s="15" t="str">
        <f aca="false">IF('KPI-Auswertung'!D25="–","n/a",IF('KPI-Auswertung'!D25&gt;0,"Ja ("&amp;TEXT('KPI-Auswertung'!D25,"0%")&amp;")","Nein"))</f>
        <v>Nein</v>
      </c>
      <c r="D10" s="29"/>
      <c r="E10" s="29"/>
      <c r="F10" s="29"/>
      <c r="G10" s="29"/>
      <c r="H10" s="29"/>
    </row>
    <row r="11" customFormat="false" ht="25.5" hidden="false" customHeight="true" outlineLevel="0" collapsed="false">
      <c r="A11" s="16" t="s">
        <v>97</v>
      </c>
      <c r="B11" s="15" t="str">
        <f aca="false">IF('KPI-Auswertung'!C26="–","n/a",IF('KPI-Auswertung'!C26&gt;0,"Ja ("&amp;TEXT('KPI-Auswertung'!C26,"0%")&amp;")","Nein"))</f>
        <v>n/a</v>
      </c>
      <c r="C11" s="15" t="str">
        <f aca="false">IF('KPI-Auswertung'!D26="–","n/a",IF('KPI-Auswertung'!D26&gt;0,"Ja ("&amp;TEXT('KPI-Auswertung'!D26,"0%")&amp;")","Nein"))</f>
        <v>n/a</v>
      </c>
      <c r="D11" s="29"/>
      <c r="E11" s="29"/>
      <c r="F11" s="29"/>
      <c r="G11" s="29"/>
      <c r="H11" s="29"/>
    </row>
    <row r="12" customFormat="false" ht="25.5" hidden="false" customHeight="true" outlineLevel="0" collapsed="false">
      <c r="A12" s="16" t="s">
        <v>100</v>
      </c>
      <c r="B12" s="15" t="str">
        <f aca="false">IF('KPI-Auswertung'!C27="–","n/a",IF('KPI-Auswertung'!C27&gt;0,"Ja ("&amp;TEXT('KPI-Auswertung'!C27,"0%")&amp;")","Nein"))</f>
        <v>n/a</v>
      </c>
      <c r="C12" s="15" t="str">
        <f aca="false">IF('KPI-Auswertung'!D27="–","n/a",IF('KPI-Auswertung'!D27&gt;0,"Ja ("&amp;TEXT('KPI-Auswertung'!D27,"0%")&amp;")","Nein"))</f>
        <v>n/a</v>
      </c>
      <c r="D12" s="29"/>
      <c r="E12" s="29"/>
      <c r="F12" s="29"/>
      <c r="G12" s="29"/>
      <c r="H12" s="29"/>
    </row>
    <row r="13" customFormat="false" ht="25.5" hidden="false" customHeight="true" outlineLevel="0" collapsed="false">
      <c r="A13" s="16" t="s">
        <v>103</v>
      </c>
      <c r="B13" s="15" t="str">
        <f aca="false">IF('KPI-Auswertung'!C28="–","n/a",IF('KPI-Auswertung'!C28&gt;0,"Ja ("&amp;TEXT('KPI-Auswertung'!C28,"0%")&amp;")","Nein"))</f>
        <v>n/a</v>
      </c>
      <c r="C13" s="15" t="str">
        <f aca="false">IF('KPI-Auswertung'!D28="–","n/a",IF('KPI-Auswertung'!D28&gt;0,"Ja ("&amp;TEXT('KPI-Auswertung'!D28,"0%")&amp;")","Nein"))</f>
        <v>n/a</v>
      </c>
      <c r="D13" s="29"/>
      <c r="E13" s="29"/>
      <c r="F13" s="29"/>
      <c r="G13" s="29"/>
      <c r="H13" s="29"/>
    </row>
    <row r="14" customFormat="false" ht="25.5" hidden="false" customHeight="true" outlineLevel="0" collapsed="false">
      <c r="A14" s="16" t="s">
        <v>106</v>
      </c>
      <c r="B14" s="15" t="str">
        <f aca="false">IF('KPI-Auswertung'!C29="–","n/a",IF('KPI-Auswertung'!C29&gt;0,"Ja ("&amp;TEXT('KPI-Auswertung'!C29,"0%")&amp;")","Nein"))</f>
        <v>n/a</v>
      </c>
      <c r="C14" s="15" t="str">
        <f aca="false">IF('KPI-Auswertung'!D29="–","n/a",IF('KPI-Auswertung'!D29&gt;0,"Ja ("&amp;TEXT('KPI-Auswertung'!D29,"0%")&amp;")","Nein"))</f>
        <v>n/a</v>
      </c>
      <c r="D14" s="29"/>
      <c r="E14" s="29"/>
      <c r="F14" s="29"/>
      <c r="G14" s="29"/>
      <c r="H14" s="29"/>
    </row>
    <row r="17" customFormat="false" ht="15" hidden="false" customHeight="false" outlineLevel="0" collapsed="false">
      <c r="A17" s="8" t="s">
        <v>585</v>
      </c>
      <c r="B17" s="8"/>
      <c r="C17" s="8"/>
      <c r="D17" s="8"/>
      <c r="E17" s="8"/>
      <c r="F17" s="8"/>
      <c r="G17" s="8"/>
      <c r="H17" s="8"/>
    </row>
    <row r="18" customFormat="false" ht="21.75" hidden="false" customHeight="true" outlineLevel="0" collapsed="false">
      <c r="A18" s="3" t="s">
        <v>586</v>
      </c>
      <c r="B18" s="21" t="s">
        <v>587</v>
      </c>
      <c r="C18" s="21"/>
      <c r="D18" s="21"/>
      <c r="E18" s="21"/>
      <c r="F18" s="30"/>
      <c r="G18" s="30"/>
      <c r="H18" s="30"/>
    </row>
    <row r="19" customFormat="false" ht="21.75" hidden="false" customHeight="true" outlineLevel="0" collapsed="false">
      <c r="A19" s="3" t="s">
        <v>588</v>
      </c>
      <c r="B19" s="21" t="s">
        <v>589</v>
      </c>
      <c r="C19" s="21"/>
      <c r="D19" s="21"/>
      <c r="E19" s="21"/>
      <c r="F19" s="30"/>
      <c r="G19" s="30"/>
      <c r="H19" s="30"/>
    </row>
    <row r="20" customFormat="false" ht="21.75" hidden="false" customHeight="true" outlineLevel="0" collapsed="false">
      <c r="A20" s="3" t="s">
        <v>590</v>
      </c>
      <c r="B20" s="21" t="s">
        <v>591</v>
      </c>
      <c r="C20" s="21"/>
      <c r="D20" s="21"/>
      <c r="E20" s="21"/>
      <c r="F20" s="30"/>
      <c r="G20" s="30"/>
      <c r="H20" s="30"/>
    </row>
    <row r="21" customFormat="false" ht="21.75" hidden="false" customHeight="true" outlineLevel="0" collapsed="false">
      <c r="A21" s="3" t="s">
        <v>592</v>
      </c>
      <c r="B21" s="21" t="s">
        <v>593</v>
      </c>
      <c r="C21" s="21"/>
      <c r="D21" s="21"/>
      <c r="E21" s="21"/>
      <c r="F21" s="30"/>
      <c r="G21" s="30"/>
      <c r="H21" s="30"/>
    </row>
    <row r="22" customFormat="false" ht="21.75" hidden="false" customHeight="true" outlineLevel="0" collapsed="false">
      <c r="A22" s="3" t="s">
        <v>594</v>
      </c>
      <c r="B22" s="21" t="s">
        <v>595</v>
      </c>
      <c r="C22" s="21"/>
      <c r="D22" s="21"/>
      <c r="E22" s="21"/>
      <c r="F22" s="30"/>
      <c r="G22" s="30"/>
      <c r="H22" s="30"/>
    </row>
    <row r="23" customFormat="false" ht="21.75" hidden="false" customHeight="true" outlineLevel="0" collapsed="false">
      <c r="A23" s="3" t="s">
        <v>596</v>
      </c>
      <c r="B23" s="21" t="s">
        <v>597</v>
      </c>
      <c r="C23" s="21"/>
      <c r="D23" s="21"/>
      <c r="E23" s="21"/>
      <c r="F23" s="30"/>
      <c r="G23" s="30"/>
      <c r="H23" s="30"/>
    </row>
    <row r="24" customFormat="false" ht="21.75" hidden="false" customHeight="true" outlineLevel="0" collapsed="false">
      <c r="A24" s="3" t="s">
        <v>598</v>
      </c>
      <c r="B24" s="21" t="s">
        <v>599</v>
      </c>
      <c r="C24" s="21"/>
      <c r="D24" s="21"/>
      <c r="E24" s="21"/>
      <c r="F24" s="30"/>
      <c r="G24" s="30"/>
      <c r="H24" s="30"/>
    </row>
    <row r="25" customFormat="false" ht="21.75" hidden="false" customHeight="true" outlineLevel="0" collapsed="false">
      <c r="A25" s="3" t="s">
        <v>600</v>
      </c>
      <c r="B25" s="21" t="s">
        <v>601</v>
      </c>
      <c r="C25" s="21"/>
      <c r="D25" s="21"/>
      <c r="E25" s="21"/>
      <c r="F25" s="30"/>
      <c r="G25" s="30"/>
      <c r="H25" s="30"/>
    </row>
  </sheetData>
  <mergeCells count="19">
    <mergeCell ref="A1:H1"/>
    <mergeCell ref="A2:H2"/>
    <mergeCell ref="A17:H17"/>
    <mergeCell ref="B18:E18"/>
    <mergeCell ref="F18:H18"/>
    <mergeCell ref="B19:E19"/>
    <mergeCell ref="F19:H19"/>
    <mergeCell ref="B20:E20"/>
    <mergeCell ref="F20:H20"/>
    <mergeCell ref="B21:E21"/>
    <mergeCell ref="F21:H21"/>
    <mergeCell ref="B22:E22"/>
    <mergeCell ref="F22:H22"/>
    <mergeCell ref="B23:E23"/>
    <mergeCell ref="F23:H23"/>
    <mergeCell ref="B24:E24"/>
    <mergeCell ref="F24:H24"/>
    <mergeCell ref="B25:E25"/>
    <mergeCell ref="F25:H25"/>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2026-08-26T17:46:05Z</dcterms:created>
  <dc:creator>openpyxl</dc:creator>
  <dc:description/>
  <dc:language>en-US</dc:language>
  <cp:lastModifiedBy/>
  <dcterms:modified xsi:type="dcterms:W3CDTF">2026-08-26T17:46:05Z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